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560" tabRatio="769" activeTab="0"/>
  </bookViews>
  <sheets>
    <sheet name="野帳" sheetId="12" r:id="rId1"/>
    <sheet name="計算書 (Ｒ３修正版)" sheetId="13" r:id="rId2"/>
  </sheets>
  <definedNames>
    <definedName name="_xlnm.Print_Area" localSheetId="1">'計算書 (Ｒ３修正版)'!$A$1:$AP$41</definedName>
  </definedNames>
  <calcPr calcId="162913"/>
</workbook>
</file>

<file path=xl/sharedStrings.xml><?xml version="1.0" encoding="utf-8"?>
<sst xmlns="http://schemas.openxmlformats.org/spreadsheetml/2006/main" count="201" uniqueCount="112">
  <si>
    <t>方位角</t>
    <rPh sb="0" eb="2">
      <t>ホウイ</t>
    </rPh>
    <rPh sb="2" eb="3">
      <t>カク</t>
    </rPh>
    <phoneticPr fontId="2"/>
  </si>
  <si>
    <t>調整量</t>
    <rPh sb="0" eb="2">
      <t>チョウセイ</t>
    </rPh>
    <rPh sb="2" eb="3">
      <t>リョウ</t>
    </rPh>
    <phoneticPr fontId="2"/>
  </si>
  <si>
    <t>測点</t>
    <rPh sb="0" eb="1">
      <t>ソク</t>
    </rPh>
    <rPh sb="1" eb="2">
      <t>テン</t>
    </rPh>
    <phoneticPr fontId="2"/>
  </si>
  <si>
    <t>計</t>
    <rPh sb="0" eb="1">
      <t>ケイ</t>
    </rPh>
    <phoneticPr fontId="2"/>
  </si>
  <si>
    <t>１．観測角度</t>
    <rPh sb="2" eb="4">
      <t>カンソク</t>
    </rPh>
    <rPh sb="4" eb="6">
      <t>カクド</t>
    </rPh>
    <phoneticPr fontId="2"/>
  </si>
  <si>
    <t>２．観測距離</t>
    <rPh sb="2" eb="4">
      <t>カンソク</t>
    </rPh>
    <rPh sb="4" eb="6">
      <t>キョリ</t>
    </rPh>
    <phoneticPr fontId="2"/>
  </si>
  <si>
    <t>望遠鏡</t>
    <rPh sb="0" eb="3">
      <t>ボウエンキョウ</t>
    </rPh>
    <phoneticPr fontId="2"/>
  </si>
  <si>
    <t>視準点</t>
    <rPh sb="0" eb="1">
      <t>シ</t>
    </rPh>
    <rPh sb="1" eb="2">
      <t>ジュン</t>
    </rPh>
    <rPh sb="2" eb="3">
      <t>テン</t>
    </rPh>
    <phoneticPr fontId="2"/>
  </si>
  <si>
    <t>観測角</t>
    <rPh sb="0" eb="2">
      <t>カンソク</t>
    </rPh>
    <rPh sb="2" eb="3">
      <t>カク</t>
    </rPh>
    <phoneticPr fontId="2"/>
  </si>
  <si>
    <t>測定角度</t>
    <rPh sb="0" eb="2">
      <t>ソクテイ</t>
    </rPh>
    <rPh sb="2" eb="4">
      <t>カクド</t>
    </rPh>
    <phoneticPr fontId="2"/>
  </si>
  <si>
    <t>平均角</t>
    <rPh sb="0" eb="2">
      <t>ヘイキン</t>
    </rPh>
    <rPh sb="2" eb="3">
      <t>カド</t>
    </rPh>
    <phoneticPr fontId="2"/>
  </si>
  <si>
    <t>調整角</t>
    <rPh sb="0" eb="2">
      <t>チョウセイ</t>
    </rPh>
    <rPh sb="2" eb="3">
      <t>カク</t>
    </rPh>
    <phoneticPr fontId="2"/>
  </si>
  <si>
    <t>観測距離
(ｍ)</t>
    <rPh sb="0" eb="2">
      <t>カンソク</t>
    </rPh>
    <rPh sb="2" eb="4">
      <t>キョリ</t>
    </rPh>
    <phoneticPr fontId="2"/>
  </si>
  <si>
    <t>正</t>
    <rPh sb="0" eb="1">
      <t>セイ</t>
    </rPh>
    <phoneticPr fontId="2"/>
  </si>
  <si>
    <t>北</t>
    <rPh sb="0" eb="1">
      <t>キタ</t>
    </rPh>
    <phoneticPr fontId="2"/>
  </si>
  <si>
    <t>Ｃ</t>
  </si>
  <si>
    <t>Ｄ</t>
  </si>
  <si>
    <t>Ｅ</t>
  </si>
  <si>
    <t>Ａ</t>
  </si>
  <si>
    <t>Ｂ</t>
  </si>
  <si>
    <t>－</t>
  </si>
  <si>
    <t>測線</t>
    <rPh sb="0" eb="1">
      <t>ソク</t>
    </rPh>
    <rPh sb="1" eb="2">
      <t>セン</t>
    </rPh>
    <phoneticPr fontId="2"/>
  </si>
  <si>
    <t>平均距離
(ｍ)</t>
    <rPh sb="0" eb="2">
      <t>ヘイキン</t>
    </rPh>
    <rPh sb="2" eb="4">
      <t>キョリ</t>
    </rPh>
    <phoneticPr fontId="2"/>
  </si>
  <si>
    <t>ＡＢ</t>
  </si>
  <si>
    <t>ＢＣ</t>
  </si>
  <si>
    <t>ＣＤ</t>
  </si>
  <si>
    <t>ＤＥ</t>
  </si>
  <si>
    <t>ＥＡ</t>
  </si>
  <si>
    <t>反</t>
    <rPh sb="0" eb="1">
      <t>ハン</t>
    </rPh>
    <phoneticPr fontId="2"/>
  </si>
  <si>
    <t>E</t>
  </si>
  <si>
    <t>計</t>
  </si>
  <si>
    <t>B</t>
  </si>
  <si>
    <t>C</t>
  </si>
  <si>
    <t>D</t>
  </si>
  <si>
    <t>３．緯距・経距、トラバースの調整計算</t>
    <rPh sb="2" eb="3">
      <t>イ</t>
    </rPh>
    <rPh sb="3" eb="4">
      <t>キョ</t>
    </rPh>
    <rPh sb="5" eb="6">
      <t>ケイ</t>
    </rPh>
    <rPh sb="6" eb="7">
      <t>キョ</t>
    </rPh>
    <rPh sb="14" eb="16">
      <t>チョウセイ</t>
    </rPh>
    <rPh sb="16" eb="18">
      <t>ケイサン</t>
    </rPh>
    <phoneticPr fontId="2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</si>
  <si>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</si>
  <si>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</si>
  <si>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</si>
  <si>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分</t>
    <rPh sb="0" eb="1">
      <t>フン</t>
    </rPh>
    <phoneticPr fontId="11"/>
  </si>
  <si>
    <t>秒</t>
    <rPh sb="0" eb="1">
      <t>ビョウ</t>
    </rPh>
    <phoneticPr fontId="11"/>
  </si>
  <si>
    <t>１．観測結果</t>
    <rPh sb="2" eb="4">
      <t>カンソク</t>
    </rPh>
    <rPh sb="4" eb="6">
      <t>ケッカ</t>
    </rPh>
    <phoneticPr fontId="11"/>
  </si>
  <si>
    <t>測点</t>
    <rPh sb="0" eb="2">
      <t>ソクテン</t>
    </rPh>
    <phoneticPr fontId="11"/>
  </si>
  <si>
    <t>望遠鏡</t>
    <rPh sb="0" eb="3">
      <t>ボウエンキョウ</t>
    </rPh>
    <phoneticPr fontId="11"/>
  </si>
  <si>
    <t>視準点</t>
    <rPh sb="0" eb="2">
      <t>シジュン</t>
    </rPh>
    <rPh sb="2" eb="3">
      <t>テン</t>
    </rPh>
    <phoneticPr fontId="11"/>
  </si>
  <si>
    <t>観測角</t>
    <rPh sb="0" eb="2">
      <t>カンソク</t>
    </rPh>
    <rPh sb="2" eb="3">
      <t>カク</t>
    </rPh>
    <phoneticPr fontId="11"/>
  </si>
  <si>
    <t>観測距離（ｍ）</t>
    <rPh sb="0" eb="2">
      <t>カンソク</t>
    </rPh>
    <rPh sb="2" eb="4">
      <t>キョリ</t>
    </rPh>
    <phoneticPr fontId="11"/>
  </si>
  <si>
    <t>A点観測手</t>
    <rPh sb="1" eb="2">
      <t>テン</t>
    </rPh>
    <rPh sb="2" eb="4">
      <t>カンソク</t>
    </rPh>
    <rPh sb="4" eb="5">
      <t>シュ</t>
    </rPh>
    <phoneticPr fontId="2"/>
  </si>
  <si>
    <t>Ｂ点、Ｃ点観測手</t>
    <rPh sb="1" eb="2">
      <t>テン</t>
    </rPh>
    <rPh sb="4" eb="5">
      <t>テン</t>
    </rPh>
    <rPh sb="5" eb="7">
      <t>カンソク</t>
    </rPh>
    <rPh sb="7" eb="8">
      <t>シュ</t>
    </rPh>
    <phoneticPr fontId="2"/>
  </si>
  <si>
    <t>Ｄ点、Ｅ点観測手</t>
    <rPh sb="1" eb="2">
      <t>テン</t>
    </rPh>
    <rPh sb="4" eb="5">
      <t>テン</t>
    </rPh>
    <rPh sb="5" eb="7">
      <t>カンソク</t>
    </rPh>
    <rPh sb="7" eb="8">
      <t>シュ</t>
    </rPh>
    <phoneticPr fontId="2"/>
  </si>
  <si>
    <t>学校名</t>
    <rPh sb="0" eb="3">
      <t>ガッコウメイ</t>
    </rPh>
    <phoneticPr fontId="11"/>
  </si>
  <si>
    <t>観測日</t>
    <rPh sb="0" eb="3">
      <t>カンソクビ</t>
    </rPh>
    <phoneticPr fontId="11"/>
  </si>
  <si>
    <t>天候</t>
    <rPh sb="0" eb="2">
      <t>テンコウ</t>
    </rPh>
    <phoneticPr fontId="11"/>
  </si>
  <si>
    <t>選手名</t>
    <rPh sb="0" eb="2">
      <t>センシュ</t>
    </rPh>
    <rPh sb="2" eb="3">
      <t>メイ</t>
    </rPh>
    <phoneticPr fontId="11"/>
  </si>
  <si>
    <t>競技時間</t>
    <rPh sb="0" eb="2">
      <t>キョウギ</t>
    </rPh>
    <rPh sb="2" eb="4">
      <t>ジカン</t>
    </rPh>
    <phoneticPr fontId="11"/>
  </si>
  <si>
    <t>野　帳</t>
    <rPh sb="0" eb="1">
      <t>ヤ</t>
    </rPh>
    <rPh sb="2" eb="3">
      <t>チョウ</t>
    </rPh>
    <phoneticPr fontId="11"/>
  </si>
  <si>
    <t>緯距　Ｌ
　(ｍ)</t>
  </si>
  <si>
    <t>調整緯距
（ｍ）</t>
  </si>
  <si>
    <t>調整量（ｍ）</t>
    <rPh sb="0" eb="2">
      <t>チョウセイ</t>
    </rPh>
    <rPh sb="2" eb="3">
      <t>リョウ</t>
    </rPh>
    <phoneticPr fontId="2"/>
  </si>
  <si>
    <t>緯距</t>
    <rPh sb="0" eb="1">
      <t>イ</t>
    </rPh>
    <rPh sb="1" eb="2">
      <t>キョ</t>
    </rPh>
    <phoneticPr fontId="2"/>
  </si>
  <si>
    <t>経距</t>
    <rPh sb="0" eb="1">
      <t>ヘ</t>
    </rPh>
    <rPh sb="1" eb="2">
      <t>キョ</t>
    </rPh>
    <phoneticPr fontId="2"/>
  </si>
  <si>
    <t>調整経距
（ｍ）</t>
    <rPh sb="2" eb="3">
      <t>キョウ</t>
    </rPh>
    <rPh sb="3" eb="4">
      <t>キョ</t>
    </rPh>
    <phoneticPr fontId="2"/>
  </si>
  <si>
    <t>測点</t>
    <rPh sb="0" eb="2">
      <t>ソクテン</t>
    </rPh>
    <phoneticPr fontId="2"/>
  </si>
  <si>
    <t>合緯距　Ｘ
（ｍ）</t>
    <rPh sb="0" eb="1">
      <t>ア</t>
    </rPh>
    <rPh sb="1" eb="2">
      <t>イ</t>
    </rPh>
    <rPh sb="2" eb="3">
      <t>キョ</t>
    </rPh>
    <phoneticPr fontId="2"/>
  </si>
  <si>
    <t>合経距　Y
（ｍ）</t>
    <rPh sb="0" eb="1">
      <t>ア</t>
    </rPh>
    <rPh sb="1" eb="2">
      <t>ヘ</t>
    </rPh>
    <rPh sb="2" eb="3">
      <t>キョ</t>
    </rPh>
    <phoneticPr fontId="2"/>
  </si>
  <si>
    <t>印</t>
    <rPh sb="0" eb="1">
      <t>イン</t>
    </rPh>
    <phoneticPr fontId="2"/>
  </si>
  <si>
    <t>競技委員正
競技委員副</t>
    <rPh sb="0" eb="2">
      <t>キョウギ</t>
    </rPh>
    <rPh sb="2" eb="4">
      <t>イイン</t>
    </rPh>
    <rPh sb="4" eb="5">
      <t>セイ</t>
    </rPh>
    <rPh sb="7" eb="9">
      <t>キョウギ</t>
    </rPh>
    <rPh sb="9" eb="11">
      <t>イイン</t>
    </rPh>
    <rPh sb="11" eb="12">
      <t>フク</t>
    </rPh>
    <phoneticPr fontId="11"/>
  </si>
  <si>
    <t>測点の模式図例</t>
    <rPh sb="0" eb="2">
      <t>ソクテン</t>
    </rPh>
    <rPh sb="3" eb="5">
      <t>モシキ</t>
    </rPh>
    <rPh sb="5" eb="6">
      <t>ズ</t>
    </rPh>
    <rPh sb="6" eb="7">
      <t>レイ</t>
    </rPh>
    <phoneticPr fontId="11"/>
  </si>
  <si>
    <t>計算日</t>
    <rPh sb="0" eb="2">
      <t>ケイサン</t>
    </rPh>
    <rPh sb="2" eb="3">
      <t>ヒ</t>
    </rPh>
    <phoneticPr fontId="2"/>
  </si>
  <si>
    <t>学校名</t>
    <rPh sb="0" eb="2">
      <t>ガッコウ</t>
    </rPh>
    <rPh sb="2" eb="3">
      <t>メイ</t>
    </rPh>
    <phoneticPr fontId="2"/>
  </si>
  <si>
    <t>コース</t>
  </si>
  <si>
    <t>天　候</t>
    <rPh sb="0" eb="1">
      <t>テン</t>
    </rPh>
    <rPh sb="2" eb="3">
      <t>コウ</t>
    </rPh>
    <phoneticPr fontId="2"/>
  </si>
  <si>
    <t>選手名</t>
  </si>
  <si>
    <t>競技時間</t>
    <rPh sb="0" eb="2">
      <t>キョウギ</t>
    </rPh>
    <rPh sb="2" eb="4">
      <t>ジカン</t>
    </rPh>
    <phoneticPr fontId="2"/>
  </si>
  <si>
    <t>競技委員</t>
    <rPh sb="0" eb="2">
      <t>キョウギ</t>
    </rPh>
    <rPh sb="2" eb="4">
      <t>イイン</t>
    </rPh>
    <phoneticPr fontId="2"/>
  </si>
  <si>
    <t>分　　　　　　　秒</t>
    <rPh sb="0" eb="1">
      <t>フン</t>
    </rPh>
    <rPh sb="8" eb="9">
      <t>ビョウ</t>
    </rPh>
    <phoneticPr fontId="2"/>
  </si>
  <si>
    <t>検</t>
    <rPh sb="0" eb="1">
      <t>ケン</t>
    </rPh>
    <phoneticPr fontId="2"/>
  </si>
  <si>
    <t>計算書</t>
    <rPh sb="0" eb="3">
      <t>ケイサンショ</t>
    </rPh>
    <phoneticPr fontId="2"/>
  </si>
  <si>
    <t>４．閉合誤差・閉合比</t>
    <rPh sb="2" eb="4">
      <t>ヘイゴウ</t>
    </rPh>
    <rPh sb="4" eb="6">
      <t>ゴサ</t>
    </rPh>
    <rPh sb="7" eb="9">
      <t>ヘイゴウ</t>
    </rPh>
    <rPh sb="9" eb="10">
      <t>ヒ</t>
    </rPh>
    <phoneticPr fontId="2"/>
  </si>
  <si>
    <t>閉合誤差</t>
    <rPh sb="0" eb="2">
      <t>ヘイゴウ</t>
    </rPh>
    <rPh sb="2" eb="4">
      <t>ゴサ</t>
    </rPh>
    <phoneticPr fontId="2"/>
  </si>
  <si>
    <t>閉合比</t>
    <rPh sb="0" eb="2">
      <t>ヘイゴウ</t>
    </rPh>
    <rPh sb="2" eb="3">
      <t>ヒ</t>
    </rPh>
    <phoneticPr fontId="2"/>
  </si>
  <si>
    <t>コース</t>
  </si>
  <si>
    <t>A</t>
  </si>
  <si>
    <t>正</t>
    <rPh sb="0" eb="1">
      <t>セイ</t>
    </rPh>
    <phoneticPr fontId="11"/>
  </si>
  <si>
    <t>北</t>
    <rPh sb="0" eb="1">
      <t>キタ</t>
    </rPh>
    <phoneticPr fontId="11"/>
  </si>
  <si>
    <t>B</t>
  </si>
  <si>
    <t>E</t>
  </si>
  <si>
    <t>反</t>
    <rPh sb="0" eb="1">
      <t>ハン</t>
    </rPh>
    <phoneticPr fontId="11"/>
  </si>
  <si>
    <t>C</t>
  </si>
  <si>
    <t>D</t>
  </si>
  <si>
    <t>経距　Ｄ
　(ｍ)</t>
  </si>
  <si>
    <t>観測角秒数</t>
    <rPh sb="0" eb="2">
      <t>カンソク</t>
    </rPh>
    <rPh sb="2" eb="3">
      <t>カク</t>
    </rPh>
    <rPh sb="3" eb="4">
      <t>ビョウ</t>
    </rPh>
    <rPh sb="4" eb="5">
      <t>スウ</t>
    </rPh>
    <phoneticPr fontId="2"/>
  </si>
  <si>
    <t>測定角秒数</t>
    <rPh sb="0" eb="2">
      <t>ソクテイ</t>
    </rPh>
    <rPh sb="2" eb="3">
      <t>カク</t>
    </rPh>
    <rPh sb="3" eb="4">
      <t>ビョウ</t>
    </rPh>
    <rPh sb="4" eb="5">
      <t>スウ</t>
    </rPh>
    <phoneticPr fontId="2"/>
  </si>
  <si>
    <t>平均角秒数</t>
    <rPh sb="0" eb="2">
      <t>ヘイキン</t>
    </rPh>
    <rPh sb="2" eb="3">
      <t>カク</t>
    </rPh>
    <rPh sb="3" eb="4">
      <t>ビョウ</t>
    </rPh>
    <rPh sb="4" eb="5">
      <t>スウ</t>
    </rPh>
    <phoneticPr fontId="2"/>
  </si>
  <si>
    <t>RANK</t>
  </si>
  <si>
    <t>A</t>
  </si>
  <si>
    <t>sum</t>
  </si>
  <si>
    <t>調整角秒数</t>
    <rPh sb="0" eb="2">
      <t>チョウセイ</t>
    </rPh>
    <rPh sb="2" eb="3">
      <t>カク</t>
    </rPh>
    <rPh sb="3" eb="4">
      <t>ビョウ</t>
    </rPh>
    <rPh sb="4" eb="5">
      <t>スウ</t>
    </rPh>
    <phoneticPr fontId="2"/>
  </si>
  <si>
    <t>★調整量</t>
    <rPh sb="1" eb="3">
      <t>チョウセイ</t>
    </rPh>
    <rPh sb="3" eb="4">
      <t>リョウ</t>
    </rPh>
    <phoneticPr fontId="2"/>
  </si>
  <si>
    <t>☆調整量</t>
    <rPh sb="1" eb="3">
      <t>チョウセイ</t>
    </rPh>
    <rPh sb="3" eb="4">
      <t>リョウ</t>
    </rPh>
    <phoneticPr fontId="2"/>
  </si>
  <si>
    <t>調整☆→★</t>
    <rPh sb="0" eb="2">
      <t>チョウセイ</t>
    </rPh>
    <phoneticPr fontId="2"/>
  </si>
  <si>
    <t>∑Ｌ</t>
  </si>
  <si>
    <t>∑D</t>
  </si>
  <si>
    <t>方位角元</t>
    <rPh sb="0" eb="2">
      <t>ホウイ</t>
    </rPh>
    <rPh sb="2" eb="3">
      <t>カク</t>
    </rPh>
    <rPh sb="3" eb="4">
      <t>モト</t>
    </rPh>
    <phoneticPr fontId="2"/>
  </si>
  <si>
    <t>方位角修正</t>
    <rPh sb="0" eb="2">
      <t>ホウイ</t>
    </rPh>
    <rPh sb="2" eb="3">
      <t>カク</t>
    </rPh>
    <rPh sb="3" eb="5">
      <t>シュウセイ</t>
    </rPh>
    <phoneticPr fontId="2"/>
  </si>
  <si>
    <t>cos</t>
  </si>
  <si>
    <t>上捨</t>
  </si>
  <si>
    <t>ABS</t>
  </si>
  <si>
    <t>L</t>
  </si>
  <si>
    <t>令和３年度　高校生ものづくりコンテスト全国大会　測量部門</t>
    <rPh sb="0" eb="2">
      <t>レイワ</t>
    </rPh>
    <rPh sb="3" eb="5">
      <t>ネンド</t>
    </rPh>
    <rPh sb="5" eb="7">
      <t>ヘイネンド</t>
    </rPh>
    <rPh sb="6" eb="9">
      <t>コウコウセイ</t>
    </rPh>
    <rPh sb="19" eb="21">
      <t>ゼンコク</t>
    </rPh>
    <rPh sb="21" eb="23">
      <t>タイカイ</t>
    </rPh>
    <rPh sb="24" eb="26">
      <t>ソクリョウ</t>
    </rPh>
    <rPh sb="26" eb="28">
      <t>ブモン</t>
    </rPh>
    <phoneticPr fontId="2"/>
  </si>
  <si>
    <t>令和</t>
    <rPh sb="0" eb="2">
      <t>レイワ</t>
    </rPh>
    <phoneticPr fontId="11"/>
  </si>
  <si>
    <t>令和３年度　高校生ものづくりコンテスト全国大会　測量部門　（確認用プログラム）</t>
    <rPh sb="0" eb="2">
      <t>レイワ</t>
    </rPh>
    <rPh sb="3" eb="5">
      <t>ネンド</t>
    </rPh>
    <rPh sb="6" eb="9">
      <t>コウコウセイ</t>
    </rPh>
    <rPh sb="19" eb="21">
      <t>ゼンコク</t>
    </rPh>
    <rPh sb="21" eb="23">
      <t>タイカイ</t>
    </rPh>
    <rPh sb="24" eb="26">
      <t>ソクリョウ</t>
    </rPh>
    <rPh sb="26" eb="28">
      <t>ブモン</t>
    </rPh>
    <rPh sb="30" eb="33">
      <t>カクニンヨウ</t>
    </rPh>
    <phoneticPr fontId="2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</si>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</sst>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 "/>
    <numFmt numFmtId="177" formatCode="0.000"/>
    <numFmt numFmtId="178" formatCode="General\T"/>
    <numFmt numFmtId="179" formatCode="0.0000"/>
    <numFmt numFmtId="180" formatCode="[&lt;0]\-0.###;[&gt;0]\+0.###;0.000"/>
    <numFmt numFmtId="181" formatCode="[&lt;0]\-0\″;[&gt;0]\+0\″;0\″"/>
    <numFmt numFmtId="182" formatCode="General\″"/>
    <numFmt numFmtId="183" formatCode="General\′"/>
    <numFmt numFmtId="184" formatCode="General\°"/>
  </numFmts>
  <fonts count="2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4"/>
      <name val="ＭＳ 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12"/>
      <color theme="2" tint="-0.24997000396251678"/>
      <name val="ＭＳ Ｐゴシック"/>
      <family val="3"/>
    </font>
    <font>
      <sz val="28"/>
      <name val="ＭＳ Ｐゴシック"/>
      <family val="3"/>
    </font>
    <font>
      <sz val="20"/>
      <color theme="1"/>
      <name val="Calibri"/>
      <family val="2"/>
    </font>
    <font>
      <sz val="11"/>
      <color theme="1"/>
      <name val="ＭＳ Ｐゴシック"/>
      <family val="2"/>
    </font>
    <font>
      <sz val="14"/>
      <name val="游明朝"/>
      <family val="2"/>
    </font>
    <font>
      <sz val="11"/>
      <color theme="1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double"/>
      <bottom style="medium"/>
    </border>
    <border>
      <left style="medium"/>
      <right/>
      <top style="medium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 diagonalDown="1">
      <left style="thin"/>
      <right/>
      <top style="double"/>
      <bottom/>
      <diagonal style="thin"/>
    </border>
    <border diagonalDown="1">
      <left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double"/>
    </border>
    <border>
      <left style="medium"/>
      <right/>
      <top style="thin"/>
      <bottom style="thin"/>
    </border>
    <border>
      <left style="medium"/>
      <right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45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2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quotePrefix="1">
      <alignment vertical="center"/>
    </xf>
    <xf numFmtId="49" fontId="5" fillId="0" borderId="0" xfId="0" applyNumberFormat="1" applyFont="1" applyBorder="1" applyAlignment="1" quotePrefix="1">
      <alignment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4" fillId="0" borderId="1" xfId="20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2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3" fillId="0" borderId="2" xfId="20" applyFont="1" applyBorder="1" applyAlignment="1" applyProtection="1">
      <alignment vertical="center"/>
      <protection/>
    </xf>
    <xf numFmtId="0" fontId="3" fillId="0" borderId="2" xfId="20" applyFont="1" applyBorder="1" applyAlignment="1" applyProtection="1">
      <alignment vertical="center"/>
      <protection locked="0"/>
    </xf>
    <xf numFmtId="0" fontId="13" fillId="0" borderId="3" xfId="20" applyFont="1" applyBorder="1" applyAlignment="1" applyProtection="1">
      <alignment vertical="center"/>
      <protection locked="0"/>
    </xf>
    <xf numFmtId="0" fontId="13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176" fontId="13" fillId="0" borderId="0" xfId="20" applyNumberFormat="1" applyFont="1" applyAlignment="1" applyProtection="1">
      <alignment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Border="1" applyAlignment="1" applyProtection="1" quotePrefix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3" fillId="0" borderId="2" xfId="20" applyFont="1" applyBorder="1" applyAlignment="1" applyProtection="1">
      <alignment vertical="center"/>
      <protection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2" xfId="20" applyNumberFormat="1" applyFont="1" applyBorder="1" applyAlignment="1" applyProtection="1">
      <alignment horizontal="center" vertical="center"/>
      <protection locked="0"/>
    </xf>
    <xf numFmtId="0" fontId="13" fillId="0" borderId="0" xfId="20" applyFont="1" applyBorder="1" applyAlignment="1" applyProtection="1">
      <alignment vertical="center"/>
      <protection locked="0"/>
    </xf>
    <xf numFmtId="0" fontId="13" fillId="0" borderId="5" xfId="20" applyFont="1" applyBorder="1" applyAlignment="1" applyProtection="1">
      <alignment vertical="center"/>
      <protection locked="0"/>
    </xf>
    <xf numFmtId="0" fontId="13" fillId="0" borderId="6" xfId="20" applyFont="1" applyBorder="1" applyAlignment="1" applyProtection="1">
      <alignment vertical="center"/>
      <protection locked="0"/>
    </xf>
    <xf numFmtId="0" fontId="13" fillId="0" borderId="7" xfId="20" applyFont="1" applyBorder="1" applyAlignment="1" applyProtection="1">
      <alignment vertical="center"/>
      <protection locked="0"/>
    </xf>
    <xf numFmtId="0" fontId="13" fillId="0" borderId="8" xfId="20" applyFont="1" applyBorder="1" applyAlignment="1" applyProtection="1">
      <alignment vertical="center"/>
      <protection/>
    </xf>
    <xf numFmtId="0" fontId="13" fillId="0" borderId="9" xfId="20" applyFont="1" applyBorder="1" applyAlignment="1" applyProtection="1">
      <alignment vertical="center"/>
      <protection/>
    </xf>
    <xf numFmtId="0" fontId="13" fillId="0" borderId="10" xfId="20" applyFont="1" applyBorder="1" applyAlignment="1" applyProtection="1">
      <alignment vertical="center"/>
      <protection/>
    </xf>
    <xf numFmtId="0" fontId="13" fillId="0" borderId="11" xfId="20" applyFont="1" applyBorder="1" applyAlignment="1" applyProtection="1">
      <alignment vertical="center"/>
      <protection/>
    </xf>
    <xf numFmtId="0" fontId="13" fillId="0" borderId="12" xfId="20" applyFont="1" applyBorder="1" applyAlignment="1" applyProtection="1">
      <alignment vertical="center"/>
      <protection/>
    </xf>
    <xf numFmtId="0" fontId="13" fillId="0" borderId="13" xfId="20" applyFont="1" applyBorder="1" applyAlignment="1" applyProtection="1">
      <alignment vertical="center"/>
      <protection/>
    </xf>
    <xf numFmtId="0" fontId="13" fillId="0" borderId="14" xfId="20" applyFont="1" applyBorder="1" applyAlignment="1" applyProtection="1">
      <alignment vertical="center"/>
      <protection/>
    </xf>
    <xf numFmtId="0" fontId="13" fillId="0" borderId="15" xfId="20" applyFont="1" applyBorder="1" applyAlignment="1" applyProtection="1">
      <alignment vertical="center"/>
      <protection/>
    </xf>
    <xf numFmtId="0" fontId="13" fillId="0" borderId="16" xfId="20" applyFont="1" applyBorder="1" applyAlignment="1" applyProtection="1">
      <alignment vertical="center"/>
      <protection/>
    </xf>
    <xf numFmtId="0" fontId="13" fillId="0" borderId="17" xfId="20" applyFont="1" applyBorder="1" applyAlignment="1" applyProtection="1">
      <alignment vertical="center"/>
      <protection/>
    </xf>
    <xf numFmtId="0" fontId="13" fillId="0" borderId="18" xfId="20" applyFont="1" applyBorder="1" applyAlignment="1" applyProtection="1">
      <alignment vertical="center"/>
      <protection/>
    </xf>
    <xf numFmtId="0" fontId="13" fillId="0" borderId="19" xfId="20" applyFont="1" applyBorder="1" applyAlignment="1" applyProtection="1">
      <alignment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vertical="center"/>
    </xf>
    <xf numFmtId="180" fontId="5" fillId="0" borderId="30" xfId="0" applyNumberFormat="1" applyFont="1" applyBorder="1" applyAlignment="1" quotePrefix="1">
      <alignment horizontal="center" vertical="center"/>
    </xf>
    <xf numFmtId="180" fontId="5" fillId="0" borderId="0" xfId="0" applyNumberFormat="1" applyFont="1" applyBorder="1" applyAlignment="1" quotePrefix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vertical="center"/>
    </xf>
    <xf numFmtId="183" fontId="5" fillId="0" borderId="9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184" fontId="5" fillId="0" borderId="8" xfId="0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3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7" fillId="0" borderId="21" xfId="20" applyFont="1" applyBorder="1" applyAlignment="1" applyProtection="1">
      <alignment horizontal="center" vertical="center"/>
      <protection/>
    </xf>
    <xf numFmtId="0" fontId="7" fillId="0" borderId="7" xfId="20" applyFont="1" applyBorder="1" applyAlignment="1" applyProtection="1">
      <alignment horizontal="center" vertical="center"/>
      <protection/>
    </xf>
    <xf numFmtId="0" fontId="7" fillId="0" borderId="35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36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26" xfId="20" applyFont="1" applyBorder="1" applyAlignment="1" applyProtection="1">
      <alignment horizontal="center" vertical="center"/>
      <protection/>
    </xf>
    <xf numFmtId="0" fontId="7" fillId="0" borderId="25" xfId="20" applyFont="1" applyBorder="1" applyAlignment="1" applyProtection="1">
      <alignment horizontal="center" vertical="center"/>
      <protection/>
    </xf>
    <xf numFmtId="177" fontId="3" fillId="0" borderId="14" xfId="20" applyNumberFormat="1" applyFont="1" applyBorder="1" applyAlignment="1" applyProtection="1">
      <alignment horizontal="center" vertical="center"/>
      <protection locked="0"/>
    </xf>
    <xf numFmtId="177" fontId="3" fillId="0" borderId="15" xfId="20" applyNumberFormat="1" applyFont="1" applyBorder="1" applyAlignment="1" applyProtection="1">
      <alignment horizontal="center" vertical="center"/>
      <protection locked="0"/>
    </xf>
    <xf numFmtId="177" fontId="3" fillId="0" borderId="38" xfId="20" applyNumberFormat="1" applyFont="1" applyBorder="1" applyAlignment="1" applyProtection="1">
      <alignment horizontal="center" vertical="center"/>
      <protection locked="0"/>
    </xf>
    <xf numFmtId="0" fontId="7" fillId="0" borderId="17" xfId="20" applyFont="1" applyBorder="1" applyAlignment="1" applyProtection="1">
      <alignment horizontal="center" vertical="center"/>
      <protection/>
    </xf>
    <xf numFmtId="0" fontId="7" fillId="0" borderId="18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177" fontId="3" fillId="0" borderId="17" xfId="20" applyNumberFormat="1" applyFont="1" applyBorder="1" applyAlignment="1" applyProtection="1">
      <alignment horizontal="center" vertical="center"/>
      <protection locked="0"/>
    </xf>
    <xf numFmtId="177" fontId="3" fillId="0" borderId="18" xfId="20" applyNumberFormat="1" applyFont="1" applyBorder="1" applyAlignment="1" applyProtection="1">
      <alignment horizontal="center" vertical="center"/>
      <protection locked="0"/>
    </xf>
    <xf numFmtId="177" fontId="3" fillId="0" borderId="40" xfId="20" applyNumberFormat="1" applyFont="1" applyBorder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center"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177" fontId="3" fillId="0" borderId="11" xfId="20" applyNumberFormat="1" applyFont="1" applyBorder="1" applyAlignment="1" applyProtection="1">
      <alignment horizontal="center" vertical="center"/>
      <protection locked="0"/>
    </xf>
    <xf numFmtId="177" fontId="3" fillId="0" borderId="12" xfId="20" applyNumberFormat="1" applyFont="1" applyBorder="1" applyAlignment="1" applyProtection="1">
      <alignment horizontal="center" vertical="center"/>
      <protection locked="0"/>
    </xf>
    <xf numFmtId="177" fontId="3" fillId="0" borderId="41" xfId="20" applyNumberFormat="1" applyFont="1" applyBorder="1" applyAlignment="1" applyProtection="1">
      <alignment horizontal="center" vertical="center"/>
      <protection locked="0"/>
    </xf>
    <xf numFmtId="0" fontId="7" fillId="0" borderId="42" xfId="20" applyFont="1" applyBorder="1" applyAlignment="1" applyProtection="1">
      <alignment horizontal="center" vertical="center"/>
      <protection/>
    </xf>
    <xf numFmtId="0" fontId="7" fillId="0" borderId="43" xfId="20" applyFont="1" applyBorder="1" applyAlignment="1" applyProtection="1">
      <alignment horizontal="center" vertical="center"/>
      <protection/>
    </xf>
    <xf numFmtId="0" fontId="7" fillId="0" borderId="14" xfId="20" applyFont="1" applyBorder="1" applyAlignment="1" applyProtection="1">
      <alignment horizontal="center" vertical="center"/>
      <protection/>
    </xf>
    <xf numFmtId="0" fontId="7" fillId="0" borderId="15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13" fillId="0" borderId="7" xfId="20" applyFont="1" applyBorder="1" applyAlignment="1" applyProtection="1">
      <alignment horizontal="center" vertical="center"/>
      <protection locked="0"/>
    </xf>
    <xf numFmtId="0" fontId="13" fillId="0" borderId="44" xfId="20" applyFont="1" applyBorder="1" applyAlignment="1" applyProtection="1">
      <alignment horizontal="center" vertical="center"/>
      <protection locked="0"/>
    </xf>
    <xf numFmtId="0" fontId="13" fillId="0" borderId="6" xfId="20" applyFont="1" applyBorder="1" applyAlignment="1" applyProtection="1">
      <alignment horizontal="center" vertical="center"/>
      <protection locked="0"/>
    </xf>
    <xf numFmtId="0" fontId="13" fillId="0" borderId="45" xfId="20" applyFont="1" applyBorder="1" applyAlignment="1" applyProtection="1">
      <alignment horizontal="center" vertical="center"/>
      <protection locked="0"/>
    </xf>
    <xf numFmtId="0" fontId="3" fillId="0" borderId="46" xfId="20" applyFont="1" applyBorder="1" applyAlignment="1" applyProtection="1">
      <alignment horizontal="center" vertical="center"/>
      <protection locked="0"/>
    </xf>
    <xf numFmtId="0" fontId="3" fillId="0" borderId="47" xfId="20" applyFont="1" applyBorder="1" applyAlignment="1" applyProtection="1">
      <alignment horizontal="center" vertical="center"/>
      <protection locked="0"/>
    </xf>
    <xf numFmtId="0" fontId="3" fillId="0" borderId="48" xfId="20" applyFont="1" applyBorder="1" applyAlignment="1" applyProtection="1">
      <alignment horizontal="center" vertical="center"/>
      <protection locked="0"/>
    </xf>
    <xf numFmtId="0" fontId="5" fillId="0" borderId="49" xfId="20" applyFont="1" applyBorder="1" applyAlignment="1" applyProtection="1">
      <alignment horizontal="center" vertical="center"/>
      <protection/>
    </xf>
    <xf numFmtId="0" fontId="5" fillId="0" borderId="50" xfId="20" applyFont="1" applyBorder="1" applyAlignment="1" applyProtection="1">
      <alignment horizontal="center" vertical="center"/>
      <protection/>
    </xf>
    <xf numFmtId="0" fontId="5" fillId="0" borderId="51" xfId="20" applyFont="1" applyBorder="1" applyAlignment="1" applyProtection="1">
      <alignment horizontal="center" vertical="center"/>
      <protection/>
    </xf>
    <xf numFmtId="0" fontId="5" fillId="0" borderId="52" xfId="20" applyFont="1" applyBorder="1" applyAlignment="1" applyProtection="1">
      <alignment horizontal="center" vertical="center"/>
      <protection/>
    </xf>
    <xf numFmtId="0" fontId="5" fillId="0" borderId="53" xfId="20" applyFont="1" applyBorder="1" applyAlignment="1" applyProtection="1">
      <alignment horizontal="center" vertical="center"/>
      <protection/>
    </xf>
    <xf numFmtId="0" fontId="8" fillId="0" borderId="54" xfId="20" applyFont="1" applyBorder="1" applyAlignment="1" applyProtection="1">
      <alignment horizontal="center" vertical="center"/>
      <protection/>
    </xf>
    <xf numFmtId="0" fontId="8" fillId="0" borderId="55" xfId="20" applyFont="1" applyBorder="1" applyAlignment="1" applyProtection="1">
      <alignment horizontal="center" vertical="center"/>
      <protection/>
    </xf>
    <xf numFmtId="0" fontId="8" fillId="0" borderId="36" xfId="20" applyFont="1" applyBorder="1" applyAlignment="1" applyProtection="1">
      <alignment horizontal="center" vertical="center"/>
      <protection/>
    </xf>
    <xf numFmtId="0" fontId="8" fillId="0" borderId="37" xfId="20" applyFont="1" applyBorder="1" applyAlignment="1" applyProtection="1">
      <alignment horizontal="center" vertical="center"/>
      <protection/>
    </xf>
    <xf numFmtId="0" fontId="7" fillId="0" borderId="56" xfId="20" applyFont="1" applyBorder="1" applyAlignment="1" applyProtection="1">
      <alignment horizontal="center" vertical="center"/>
      <protection/>
    </xf>
    <xf numFmtId="0" fontId="7" fillId="0" borderId="55" xfId="20" applyFont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center" vertical="center"/>
      <protection/>
    </xf>
    <xf numFmtId="0" fontId="7" fillId="0" borderId="9" xfId="20" applyFont="1" applyBorder="1" applyAlignment="1" applyProtection="1">
      <alignment horizontal="center" vertical="center"/>
      <protection/>
    </xf>
    <xf numFmtId="0" fontId="3" fillId="0" borderId="57" xfId="20" applyFont="1" applyBorder="1" applyAlignment="1" applyProtection="1">
      <alignment horizontal="center" vertical="center"/>
      <protection locked="0"/>
    </xf>
    <xf numFmtId="0" fontId="3" fillId="0" borderId="58" xfId="20" applyFont="1" applyBorder="1" applyAlignment="1" applyProtection="1">
      <alignment horizontal="center" vertical="center"/>
      <protection locked="0"/>
    </xf>
    <xf numFmtId="0" fontId="3" fillId="0" borderId="59" xfId="20" applyFont="1" applyBorder="1" applyAlignment="1" applyProtection="1">
      <alignment horizontal="center" vertical="center"/>
      <protection locked="0"/>
    </xf>
    <xf numFmtId="0" fontId="7" fillId="0" borderId="30" xfId="20" applyFont="1" applyBorder="1" applyAlignment="1" applyProtection="1">
      <alignment horizontal="center" vertical="center"/>
      <protection/>
    </xf>
    <xf numFmtId="0" fontId="8" fillId="0" borderId="35" xfId="20" applyFont="1" applyBorder="1" applyAlignment="1" applyProtection="1">
      <alignment horizontal="center" vertical="center"/>
      <protection/>
    </xf>
    <xf numFmtId="0" fontId="8" fillId="0" borderId="23" xfId="2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6" fillId="0" borderId="30" xfId="20" applyFont="1" applyBorder="1" applyAlignment="1" applyProtection="1">
      <alignment horizontal="center" vertical="center"/>
      <protection/>
    </xf>
    <xf numFmtId="0" fontId="6" fillId="0" borderId="60" xfId="20" applyFont="1" applyBorder="1" applyAlignment="1" applyProtection="1">
      <alignment horizontal="center" vertical="center"/>
      <protection/>
    </xf>
    <xf numFmtId="0" fontId="6" fillId="0" borderId="35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36" xfId="20" applyFont="1" applyBorder="1" applyAlignment="1" applyProtection="1">
      <alignment horizontal="center" vertical="center"/>
      <protection/>
    </xf>
    <xf numFmtId="0" fontId="6" fillId="0" borderId="45" xfId="20" applyFont="1" applyBorder="1" applyAlignment="1" applyProtection="1">
      <alignment horizontal="center" vertical="center"/>
      <protection/>
    </xf>
    <xf numFmtId="0" fontId="10" fillId="0" borderId="4" xfId="20" applyFont="1" applyBorder="1" applyAlignment="1" applyProtection="1">
      <alignment horizontal="center" vertical="center"/>
      <protection/>
    </xf>
    <xf numFmtId="0" fontId="10" fillId="0" borderId="2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 locked="0"/>
    </xf>
    <xf numFmtId="0" fontId="10" fillId="0" borderId="30" xfId="20" applyFont="1" applyBorder="1" applyAlignment="1" applyProtection="1">
      <alignment horizontal="center" vertical="center"/>
      <protection/>
    </xf>
    <xf numFmtId="0" fontId="10" fillId="0" borderId="5" xfId="20" applyFont="1" applyBorder="1" applyAlignment="1" applyProtection="1">
      <alignment horizontal="center" vertical="center"/>
      <protection/>
    </xf>
    <xf numFmtId="0" fontId="10" fillId="0" borderId="35" xfId="20" applyFont="1" applyBorder="1" applyAlignment="1" applyProtection="1">
      <alignment horizontal="center" vertical="center"/>
      <protection/>
    </xf>
    <xf numFmtId="0" fontId="10" fillId="0" borderId="0" xfId="20" applyFont="1" applyBorder="1" applyAlignment="1" applyProtection="1">
      <alignment horizontal="center" vertical="center"/>
      <protection/>
    </xf>
    <xf numFmtId="0" fontId="10" fillId="0" borderId="36" xfId="20" applyFont="1" applyBorder="1" applyAlignment="1" applyProtection="1">
      <alignment horizontal="center" vertical="center"/>
      <protection/>
    </xf>
    <xf numFmtId="0" fontId="10" fillId="0" borderId="6" xfId="20" applyFont="1" applyBorder="1" applyAlignment="1" applyProtection="1">
      <alignment horizontal="center" vertical="center"/>
      <protection/>
    </xf>
    <xf numFmtId="0" fontId="13" fillId="0" borderId="60" xfId="20" applyFont="1" applyBorder="1" applyAlignment="1" applyProtection="1" quotePrefix="1">
      <alignment horizontal="center" vertical="center"/>
      <protection locked="0"/>
    </xf>
    <xf numFmtId="0" fontId="13" fillId="0" borderId="61" xfId="20" applyFont="1" applyBorder="1" applyAlignment="1" applyProtection="1" quotePrefix="1">
      <alignment horizontal="center" vertical="center"/>
      <protection locked="0"/>
    </xf>
    <xf numFmtId="0" fontId="13" fillId="0" borderId="1" xfId="20" applyFont="1" applyBorder="1" applyAlignment="1" applyProtection="1" quotePrefix="1">
      <alignment horizontal="center" vertical="center"/>
      <protection locked="0"/>
    </xf>
    <xf numFmtId="0" fontId="13" fillId="0" borderId="62" xfId="20" applyFont="1" applyBorder="1" applyAlignment="1" applyProtection="1" quotePrefix="1">
      <alignment horizontal="center" vertical="center"/>
      <protection locked="0"/>
    </xf>
    <xf numFmtId="0" fontId="13" fillId="0" borderId="45" xfId="20" applyFont="1" applyBorder="1" applyAlignment="1" applyProtection="1" quotePrefix="1">
      <alignment horizontal="center" vertical="center"/>
      <protection locked="0"/>
    </xf>
    <xf numFmtId="0" fontId="13" fillId="0" borderId="63" xfId="20" applyFont="1" applyBorder="1" applyAlignment="1" applyProtection="1" quotePrefix="1">
      <alignment horizontal="center" vertical="center"/>
      <protection locked="0"/>
    </xf>
    <xf numFmtId="0" fontId="3" fillId="0" borderId="30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3" fillId="0" borderId="35" xfId="20" applyFont="1" applyBorder="1" applyAlignment="1" applyProtection="1">
      <alignment horizontal="center" vertical="center"/>
      <protection/>
    </xf>
    <xf numFmtId="0" fontId="3" fillId="0" borderId="36" xfId="20" applyFont="1" applyBorder="1" applyAlignment="1" applyProtection="1">
      <alignment horizontal="center" vertical="center"/>
      <protection/>
    </xf>
    <xf numFmtId="0" fontId="13" fillId="0" borderId="5" xfId="20" applyFont="1" applyBorder="1" applyAlignment="1" applyProtection="1">
      <alignment horizontal="center" vertical="center"/>
      <protection locked="0"/>
    </xf>
    <xf numFmtId="0" fontId="13" fillId="0" borderId="25" xfId="20" applyFont="1" applyBorder="1" applyAlignment="1" applyProtection="1">
      <alignment horizontal="center" vertical="center"/>
      <protection locked="0"/>
    </xf>
    <xf numFmtId="0" fontId="3" fillId="0" borderId="30" xfId="20" applyFont="1" applyBorder="1" applyAlignment="1" applyProtection="1">
      <alignment horizontal="center" vertical="center" wrapText="1"/>
      <protection/>
    </xf>
    <xf numFmtId="0" fontId="3" fillId="0" borderId="35" xfId="20" applyFont="1" applyBorder="1" applyAlignment="1" applyProtection="1">
      <alignment horizontal="center" vertical="center" wrapText="1"/>
      <protection/>
    </xf>
    <xf numFmtId="0" fontId="18" fillId="0" borderId="60" xfId="20" applyFont="1" applyBorder="1" applyAlignment="1" applyProtection="1">
      <alignment horizontal="center" vertical="center"/>
      <protection locked="0"/>
    </xf>
    <xf numFmtId="0" fontId="18" fillId="0" borderId="1" xfId="20" applyFont="1" applyBorder="1" applyAlignment="1" applyProtection="1">
      <alignment horizontal="center" vertical="center"/>
      <protection locked="0"/>
    </xf>
    <xf numFmtId="0" fontId="18" fillId="0" borderId="64" xfId="20" applyFont="1" applyBorder="1" applyAlignment="1" applyProtection="1">
      <alignment horizontal="center" vertical="center"/>
      <protection locked="0"/>
    </xf>
    <xf numFmtId="0" fontId="13" fillId="0" borderId="0" xfId="20" applyFont="1" applyBorder="1" applyAlignment="1" applyProtection="1">
      <alignment horizontal="center" vertical="center"/>
      <protection locked="0"/>
    </xf>
    <xf numFmtId="0" fontId="18" fillId="0" borderId="44" xfId="20" applyFont="1" applyBorder="1" applyAlignment="1" applyProtection="1">
      <alignment horizontal="center" vertical="center"/>
      <protection locked="0"/>
    </xf>
    <xf numFmtId="0" fontId="18" fillId="0" borderId="45" xfId="2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left" vertical="center"/>
    </xf>
    <xf numFmtId="180" fontId="5" fillId="0" borderId="65" xfId="0" applyNumberFormat="1" applyFont="1" applyBorder="1" applyAlignment="1">
      <alignment horizontal="left" vertical="center"/>
    </xf>
    <xf numFmtId="180" fontId="5" fillId="0" borderId="65" xfId="0" applyNumberFormat="1" applyFont="1" applyBorder="1" applyAlignment="1">
      <alignment horizontal="center" vertical="center"/>
    </xf>
    <xf numFmtId="180" fontId="5" fillId="0" borderId="66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center" wrapText="1"/>
    </xf>
    <xf numFmtId="0" fontId="19" fillId="0" borderId="35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56" xfId="0" applyNumberFormat="1" applyFont="1" applyBorder="1" applyAlignment="1">
      <alignment horizontal="center" vertical="center"/>
    </xf>
    <xf numFmtId="180" fontId="5" fillId="0" borderId="75" xfId="0" applyNumberFormat="1" applyFont="1" applyBorder="1" applyAlignment="1">
      <alignment horizontal="center" vertical="center"/>
    </xf>
    <xf numFmtId="180" fontId="5" fillId="0" borderId="7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 quotePrefix="1">
      <alignment horizontal="center" vertical="center"/>
    </xf>
    <xf numFmtId="0" fontId="9" fillId="0" borderId="56" xfId="0" applyFont="1" applyBorder="1" applyAlignment="1" quotePrefix="1">
      <alignment horizontal="center" vertical="center"/>
    </xf>
    <xf numFmtId="0" fontId="9" fillId="0" borderId="78" xfId="0" applyFont="1" applyBorder="1" applyAlignment="1" quotePrefix="1">
      <alignment horizontal="center" vertical="center"/>
    </xf>
    <xf numFmtId="0" fontId="9" fillId="0" borderId="39" xfId="0" applyFont="1" applyBorder="1" applyAlignment="1" quotePrefix="1">
      <alignment horizontal="center" vertical="center"/>
    </xf>
    <xf numFmtId="176" fontId="7" fillId="0" borderId="56" xfId="0" applyNumberFormat="1" applyFont="1" applyBorder="1" applyAlignment="1">
      <alignment horizontal="center" vertical="center" wrapText="1"/>
    </xf>
    <xf numFmtId="176" fontId="7" fillId="0" borderId="75" xfId="0" applyNumberFormat="1" applyFont="1" applyBorder="1" applyAlignment="1">
      <alignment horizontal="center" vertical="center" wrapText="1"/>
    </xf>
    <xf numFmtId="176" fontId="7" fillId="0" borderId="76" xfId="0" applyNumberFormat="1" applyFont="1" applyBorder="1" applyAlignment="1">
      <alignment horizontal="center" vertical="center" wrapText="1"/>
    </xf>
    <xf numFmtId="176" fontId="7" fillId="0" borderId="39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45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3" fontId="5" fillId="0" borderId="75" xfId="0" applyNumberFormat="1" applyFont="1" applyBorder="1" applyAlignment="1" quotePrefix="1">
      <alignment horizontal="center" vertical="center"/>
    </xf>
    <xf numFmtId="183" fontId="5" fillId="0" borderId="6" xfId="0" applyNumberFormat="1" applyFont="1" applyBorder="1" applyAlignment="1" quotePrefix="1">
      <alignment horizontal="center" vertical="center"/>
    </xf>
    <xf numFmtId="182" fontId="5" fillId="0" borderId="55" xfId="0" applyNumberFormat="1" applyFont="1" applyBorder="1" applyAlignment="1" quotePrefix="1">
      <alignment horizontal="center" vertical="center"/>
    </xf>
    <xf numFmtId="182" fontId="5" fillId="0" borderId="37" xfId="0" applyNumberFormat="1" applyFont="1" applyBorder="1" applyAlignment="1" quotePrefix="1">
      <alignment horizontal="center" vertical="center"/>
    </xf>
    <xf numFmtId="181" fontId="5" fillId="0" borderId="56" xfId="0" applyNumberFormat="1" applyFont="1" applyBorder="1" applyAlignment="1" quotePrefix="1">
      <alignment horizontal="center" vertical="center"/>
    </xf>
    <xf numFmtId="181" fontId="5" fillId="0" borderId="75" xfId="0" applyNumberFormat="1" applyFont="1" applyBorder="1" applyAlignment="1" quotePrefix="1">
      <alignment horizontal="center" vertical="center"/>
    </xf>
    <xf numFmtId="181" fontId="5" fillId="0" borderId="55" xfId="0" applyNumberFormat="1" applyFont="1" applyBorder="1" applyAlignment="1" quotePrefix="1">
      <alignment horizontal="center" vertical="center"/>
    </xf>
    <xf numFmtId="181" fontId="5" fillId="0" borderId="39" xfId="0" applyNumberFormat="1" applyFont="1" applyBorder="1" applyAlignment="1" quotePrefix="1">
      <alignment horizontal="center" vertical="center"/>
    </xf>
    <xf numFmtId="181" fontId="5" fillId="0" borderId="6" xfId="0" applyNumberFormat="1" applyFont="1" applyBorder="1" applyAlignment="1" quotePrefix="1">
      <alignment horizontal="center" vertical="center"/>
    </xf>
    <xf numFmtId="181" fontId="5" fillId="0" borderId="37" xfId="0" applyNumberFormat="1" applyFont="1" applyBorder="1" applyAlignment="1" quotePrefix="1">
      <alignment horizontal="center" vertical="center"/>
    </xf>
    <xf numFmtId="184" fontId="5" fillId="0" borderId="56" xfId="0" applyNumberFormat="1" applyFont="1" applyBorder="1" applyAlignment="1" quotePrefix="1">
      <alignment horizontal="center" vertical="center"/>
    </xf>
    <xf numFmtId="184" fontId="5" fillId="0" borderId="39" xfId="0" applyNumberFormat="1" applyFont="1" applyBorder="1" applyAlignment="1" quotePrefix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84" fontId="5" fillId="0" borderId="21" xfId="0" applyNumberFormat="1" applyFont="1" applyBorder="1" applyAlignment="1">
      <alignment horizontal="center" vertical="center"/>
    </xf>
    <xf numFmtId="184" fontId="5" fillId="0" borderId="70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183" fontId="5" fillId="0" borderId="71" xfId="0" applyNumberFormat="1" applyFont="1" applyBorder="1" applyAlignment="1">
      <alignment horizontal="center" vertical="center"/>
    </xf>
    <xf numFmtId="182" fontId="5" fillId="0" borderId="34" xfId="0" applyNumberFormat="1" applyFont="1" applyBorder="1" applyAlignment="1">
      <alignment horizontal="center" vertical="center"/>
    </xf>
    <xf numFmtId="182" fontId="5" fillId="0" borderId="7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2" fontId="5" fillId="0" borderId="43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horizontal="center" vertical="center"/>
    </xf>
    <xf numFmtId="182" fontId="5" fillId="0" borderId="37" xfId="0" applyNumberFormat="1" applyFont="1" applyBorder="1" applyAlignment="1">
      <alignment horizontal="center" vertical="center"/>
    </xf>
    <xf numFmtId="184" fontId="5" fillId="0" borderId="42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 vertical="center"/>
    </xf>
    <xf numFmtId="184" fontId="5" fillId="0" borderId="39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6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181" fontId="5" fillId="0" borderId="43" xfId="0" applyNumberFormat="1" applyFont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181" fontId="5" fillId="0" borderId="37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4" fontId="5" fillId="0" borderId="24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" vertical="center"/>
    </xf>
    <xf numFmtId="182" fontId="5" fillId="0" borderId="26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5" fillId="0" borderId="56" xfId="0" applyNumberFormat="1" applyFont="1" applyBorder="1" applyAlignment="1">
      <alignment horizontal="center" vertical="center"/>
    </xf>
    <xf numFmtId="183" fontId="5" fillId="0" borderId="75" xfId="0" applyNumberFormat="1" applyFont="1" applyBorder="1" applyAlignment="1">
      <alignment horizontal="center" vertical="center"/>
    </xf>
    <xf numFmtId="182" fontId="5" fillId="0" borderId="5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35" xfId="20" applyFont="1" applyBorder="1" applyAlignment="1" applyProtection="1">
      <alignment horizontal="center" vertical="center"/>
      <protection/>
    </xf>
    <xf numFmtId="0" fontId="4" fillId="0" borderId="0" xfId="20" applyFont="1" applyBorder="1" applyAlignment="1" applyProtection="1">
      <alignment horizontal="center" vertical="center"/>
      <protection/>
    </xf>
    <xf numFmtId="0" fontId="4" fillId="0" borderId="36" xfId="20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 quotePrefix="1">
      <alignment horizontal="center" vertical="center"/>
      <protection locked="0"/>
    </xf>
    <xf numFmtId="0" fontId="13" fillId="0" borderId="6" xfId="20" applyFont="1" applyBorder="1" applyAlignment="1" applyProtection="1" quotePrefix="1">
      <alignment horizontal="center" vertical="center"/>
      <protection locked="0"/>
    </xf>
    <xf numFmtId="0" fontId="4" fillId="0" borderId="22" xfId="20" applyFont="1" applyBorder="1" applyAlignment="1" applyProtection="1" quotePrefix="1">
      <alignment horizontal="center" vertical="center"/>
      <protection locked="0"/>
    </xf>
    <xf numFmtId="0" fontId="4" fillId="0" borderId="0" xfId="20" applyFont="1" applyBorder="1" applyAlignment="1" applyProtection="1" quotePrefix="1">
      <alignment horizontal="center" vertical="center"/>
      <protection locked="0"/>
    </xf>
    <xf numFmtId="0" fontId="4" fillId="0" borderId="39" xfId="20" applyFont="1" applyBorder="1" applyAlignment="1" applyProtection="1" quotePrefix="1">
      <alignment horizontal="center" vertical="center"/>
      <protection locked="0"/>
    </xf>
    <xf numFmtId="0" fontId="4" fillId="0" borderId="6" xfId="20" applyFont="1" applyBorder="1" applyAlignment="1" applyProtection="1" quotePrefix="1">
      <alignment horizontal="center" vertical="center"/>
      <protection locked="0"/>
    </xf>
    <xf numFmtId="0" fontId="7" fillId="0" borderId="0" xfId="20" applyFont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center" vertical="center"/>
      <protection/>
    </xf>
    <xf numFmtId="0" fontId="7" fillId="0" borderId="6" xfId="20" applyFont="1" applyBorder="1" applyAlignment="1" applyProtection="1">
      <alignment horizontal="center" vertical="center"/>
      <protection/>
    </xf>
    <xf numFmtId="0" fontId="7" fillId="0" borderId="45" xfId="20" applyFont="1" applyBorder="1" applyAlignment="1" applyProtection="1">
      <alignment horizontal="center" vertical="center"/>
      <protection/>
    </xf>
    <xf numFmtId="0" fontId="4" fillId="0" borderId="30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30" xfId="20" applyFont="1" applyBorder="1" applyAlignment="1" applyProtection="1">
      <alignment horizontal="center" vertical="center" wrapText="1"/>
      <protection/>
    </xf>
    <xf numFmtId="0" fontId="17" fillId="0" borderId="5" xfId="20" applyFont="1" applyBorder="1" applyAlignment="1" applyProtection="1">
      <alignment horizontal="center" vertical="center" wrapText="1"/>
      <protection/>
    </xf>
    <xf numFmtId="0" fontId="17" fillId="0" borderId="5" xfId="20" applyFont="1" applyBorder="1" applyAlignment="1" applyProtection="1">
      <alignment horizontal="center" vertical="center"/>
      <protection/>
    </xf>
    <xf numFmtId="0" fontId="17" fillId="0" borderId="60" xfId="20" applyFont="1" applyBorder="1" applyAlignment="1" applyProtection="1">
      <alignment horizontal="center" vertical="center"/>
      <protection/>
    </xf>
    <xf numFmtId="0" fontId="17" fillId="0" borderId="35" xfId="20" applyFont="1" applyBorder="1" applyAlignment="1" applyProtection="1">
      <alignment horizontal="center" vertical="center"/>
      <protection/>
    </xf>
    <xf numFmtId="0" fontId="17" fillId="0" borderId="0" xfId="20" applyFont="1" applyBorder="1" applyAlignment="1" applyProtection="1">
      <alignment horizontal="center" vertical="center"/>
      <protection/>
    </xf>
    <xf numFmtId="0" fontId="17" fillId="0" borderId="1" xfId="20" applyFont="1" applyBorder="1" applyAlignment="1" applyProtection="1">
      <alignment horizontal="center" vertical="center"/>
      <protection/>
    </xf>
    <xf numFmtId="0" fontId="17" fillId="0" borderId="36" xfId="20" applyFont="1" applyBorder="1" applyAlignment="1" applyProtection="1">
      <alignment horizontal="center" vertical="center"/>
      <protection/>
    </xf>
    <xf numFmtId="0" fontId="17" fillId="0" borderId="6" xfId="20" applyFont="1" applyBorder="1" applyAlignment="1" applyProtection="1">
      <alignment horizontal="center" vertical="center"/>
      <protection/>
    </xf>
    <xf numFmtId="0" fontId="17" fillId="0" borderId="45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94" xfId="20" applyFont="1" applyBorder="1" applyAlignment="1" applyProtection="1">
      <alignment horizontal="center" vertical="center"/>
      <protection/>
    </xf>
    <xf numFmtId="0" fontId="13" fillId="0" borderId="3" xfId="20" applyFont="1" applyBorder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123825</xdr:rowOff>
    </xdr:from>
    <xdr:to>
      <xdr:col>13</xdr:col>
      <xdr:colOff>133350</xdr:colOff>
      <xdr:row>30</xdr:row>
      <xdr:rowOff>47625</xdr:rowOff>
    </xdr:to>
    <xdr:grpSp>
      <xdr:nvGrpSpPr>
        <xdr:cNvPr id="27104" name="グループ化 36"/>
        <xdr:cNvGrpSpPr>
          <a:grpSpLocks/>
        </xdr:cNvGrpSpPr>
      </xdr:nvGrpSpPr>
      <xdr:grpSpPr bwMode="auto">
        <a:xfrm>
          <a:off x="428625" y="3257550"/>
          <a:ext cx="5276850" cy="5267325"/>
          <a:chOff x="150643" y="3075943"/>
          <a:chExt cx="5334051" cy="5322372"/>
        </a:xfrm>
      </xdr:grpSpPr>
      <xdr:sp macro="" textlink="">
        <xdr:nvSpPr>
          <xdr:cNvPr id="18" name="円弧 17"/>
          <xdr:cNvSpPr/>
        </xdr:nvSpPr>
        <xdr:spPr>
          <a:xfrm rot="7924421">
            <a:off x="496023" y="5441737"/>
            <a:ext cx="721430" cy="694570"/>
          </a:xfrm>
          <a:prstGeom prst="arc">
            <a:avLst>
              <a:gd name="adj1" fmla="val 7464842"/>
              <a:gd name="adj2" fmla="val 10266767"/>
            </a:avLst>
          </a:prstGeom>
          <a:noFill/>
          <a:ln w="12700" cap="flat" cmpd="sng" algn="ctr">
            <a:solidFill>
              <a:sysClr val="windowText" lastClr="000000"/>
            </a:solidFill>
            <a:prstDash val="solid"/>
            <a:headEnd type="none"/>
            <a:tailEnd type="triangle"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27106" name="グループ化 10"/>
          <xdr:cNvGrpSpPr>
            <a:grpSpLocks/>
          </xdr:cNvGrpSpPr>
        </xdr:nvGrpSpPr>
        <xdr:grpSpPr bwMode="auto">
          <a:xfrm>
            <a:off x="150643" y="3075943"/>
            <a:ext cx="5334051" cy="5322372"/>
            <a:chOff x="150643" y="3075943"/>
            <a:chExt cx="5334051" cy="5322372"/>
          </a:xfrm>
        </xdr:grpSpPr>
        <xdr:sp macro="" textlink="">
          <xdr:nvSpPr>
            <xdr:cNvPr id="13" name="円弧 12"/>
            <xdr:cNvSpPr/>
          </xdr:nvSpPr>
          <xdr:spPr>
            <a:xfrm rot="1133222">
              <a:off x="150643" y="5496292"/>
              <a:ext cx="1302842" cy="1366519"/>
            </a:xfrm>
            <a:prstGeom prst="arc">
              <a:avLst>
                <a:gd name="adj1" fmla="val 16200000"/>
                <a:gd name="adj2" fmla="val 948688"/>
              </a:avLst>
            </a:prstGeom>
            <a:noFill/>
            <a:ln w="12700" cap="flat" cmpd="sng" algn="ctr">
              <a:solidFill>
                <a:sysClr val="windowText" lastClr="000000"/>
              </a:solidFill>
              <a:prstDash val="solid"/>
              <a:headEnd type="triangle"/>
              <a:tailEnd type="triangle"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" name="円弧 13"/>
            <xdr:cNvSpPr/>
          </xdr:nvSpPr>
          <xdr:spPr>
            <a:xfrm rot="5701696">
              <a:off x="1172114" y="3087918"/>
              <a:ext cx="1248168" cy="1345230"/>
            </a:xfrm>
            <a:prstGeom prst="arc">
              <a:avLst>
                <a:gd name="adj1" fmla="val 16135997"/>
                <a:gd name="adj2" fmla="val 948688"/>
              </a:avLst>
            </a:prstGeom>
            <a:noFill/>
            <a:ln w="12700" cap="flat" cmpd="sng" algn="ctr">
              <a:solidFill>
                <a:sysClr val="windowText" lastClr="000000"/>
              </a:solidFill>
              <a:prstDash val="solid"/>
              <a:headEnd type="triangle"/>
              <a:tailEnd type="triangle"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5" name="円弧 14"/>
            <xdr:cNvSpPr/>
          </xdr:nvSpPr>
          <xdr:spPr>
            <a:xfrm rot="10152922">
              <a:off x="3697787" y="3411252"/>
              <a:ext cx="1442861" cy="1218823"/>
            </a:xfrm>
            <a:prstGeom prst="arc">
              <a:avLst>
                <a:gd name="adj1" fmla="val 16200000"/>
                <a:gd name="adj2" fmla="val 1229459"/>
              </a:avLst>
            </a:prstGeom>
            <a:noFill/>
            <a:ln w="12700" cap="flat" cmpd="sng" algn="ctr">
              <a:solidFill>
                <a:sysClr val="windowText" lastClr="000000"/>
              </a:solidFill>
              <a:prstDash val="solid"/>
              <a:headEnd type="triangle"/>
              <a:tailEnd type="triangle"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6" name="円弧 15"/>
            <xdr:cNvSpPr/>
          </xdr:nvSpPr>
          <xdr:spPr>
            <a:xfrm rot="12428557">
              <a:off x="4132512" y="5594756"/>
              <a:ext cx="1352182" cy="1254749"/>
            </a:xfrm>
            <a:prstGeom prst="arc">
              <a:avLst>
                <a:gd name="adj1" fmla="val 16749721"/>
                <a:gd name="adj2" fmla="val 3407400"/>
              </a:avLst>
            </a:prstGeom>
            <a:noFill/>
            <a:ln w="12700" cap="flat" cmpd="sng" algn="ctr">
              <a:solidFill>
                <a:sysClr val="windowText" lastClr="000000"/>
              </a:solidFill>
              <a:prstDash val="solid"/>
              <a:headEnd type="triangle"/>
              <a:tailEnd type="triangle"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7" name="円弧 16"/>
            <xdr:cNvSpPr/>
          </xdr:nvSpPr>
          <xdr:spPr>
            <a:xfrm rot="19671403">
              <a:off x="1936217" y="7142235"/>
              <a:ext cx="1305509" cy="1256080"/>
            </a:xfrm>
            <a:prstGeom prst="arc">
              <a:avLst>
                <a:gd name="adj1" fmla="val 15546086"/>
                <a:gd name="adj2" fmla="val 269374"/>
              </a:avLst>
            </a:prstGeom>
            <a:noFill/>
            <a:ln w="12700" cap="flat" cmpd="sng" algn="ctr">
              <a:solidFill>
                <a:sysClr val="windowText" lastClr="000000"/>
              </a:solidFill>
              <a:prstDash val="solid"/>
              <a:headEnd type="triangle"/>
              <a:tailEnd type="triangle"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grpSp>
          <xdr:nvGrpSpPr>
            <xdr:cNvPr id="27112" name="グループ化 18"/>
            <xdr:cNvGrpSpPr>
              <a:grpSpLocks/>
            </xdr:cNvGrpSpPr>
          </xdr:nvGrpSpPr>
          <xdr:grpSpPr bwMode="auto">
            <a:xfrm>
              <a:off x="273326" y="3075943"/>
              <a:ext cx="5058014" cy="5034964"/>
              <a:chOff x="192558" y="47560"/>
              <a:chExt cx="3559667" cy="3385212"/>
            </a:xfrm>
          </xdr:grpSpPr>
          <xdr:grpSp>
            <xdr:nvGrpSpPr>
              <xdr:cNvPr id="27113" name="グループ化 19"/>
              <xdr:cNvGrpSpPr>
                <a:grpSpLocks/>
              </xdr:cNvGrpSpPr>
            </xdr:nvGrpSpPr>
            <xdr:grpSpPr bwMode="auto">
              <a:xfrm>
                <a:off x="325156" y="292988"/>
                <a:ext cx="3281123" cy="2946827"/>
                <a:chOff x="-385630" y="-11395"/>
                <a:chExt cx="3281487" cy="2946743"/>
              </a:xfrm>
            </xdr:grpSpPr>
            <xdr:grpSp>
              <xdr:nvGrpSpPr>
                <xdr:cNvPr id="27120" name="グループ化 28"/>
                <xdr:cNvGrpSpPr>
                  <a:grpSpLocks/>
                </xdr:cNvGrpSpPr>
              </xdr:nvGrpSpPr>
              <xdr:grpSpPr bwMode="auto">
                <a:xfrm>
                  <a:off x="-209250" y="-11395"/>
                  <a:ext cx="3105107" cy="2946743"/>
                  <a:chOff x="-225291" y="-11979"/>
                  <a:chExt cx="3338187" cy="3097641"/>
                </a:xfrm>
              </xdr:grpSpPr>
              <xdr:sp macro="" textlink="">
                <xdr:nvSpPr>
                  <xdr:cNvPr id="31" name="五角形 30"/>
                  <xdr:cNvSpPr/>
                </xdr:nvSpPr>
                <xdr:spPr>
                  <a:xfrm rot="2483898">
                    <a:off x="1706" y="-11979"/>
                    <a:ext cx="3111190" cy="2815756"/>
                  </a:xfrm>
                  <a:prstGeom prst="pentagon">
                    <a:avLst/>
                  </a:prstGeom>
                  <a:noFill/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32" name="円/楕円 31"/>
                  <xdr:cNvSpPr/>
                </xdr:nvSpPr>
                <xdr:spPr>
                  <a:xfrm>
                    <a:off x="2506181" y="283071"/>
                    <a:ext cx="109326" cy="10222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33" name="円/楕円 32"/>
                  <xdr:cNvSpPr/>
                </xdr:nvSpPr>
                <xdr:spPr>
                  <a:xfrm>
                    <a:off x="568363" y="152970"/>
                    <a:ext cx="102649" cy="10222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34" name="円/楕円 33"/>
                  <xdr:cNvSpPr/>
                </xdr:nvSpPr>
                <xdr:spPr>
                  <a:xfrm>
                    <a:off x="-225291" y="1814855"/>
                    <a:ext cx="102649" cy="9525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35" name="円/楕円 34"/>
                  <xdr:cNvSpPr/>
                </xdr:nvSpPr>
                <xdr:spPr>
                  <a:xfrm>
                    <a:off x="1206791" y="2983440"/>
                    <a:ext cx="109326" cy="10222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29" name="円/楕円 28"/>
                  <xdr:cNvSpPr/>
                </xdr:nvSpPr>
                <xdr:spPr>
                  <a:xfrm>
                    <a:off x="2896748" y="2030141"/>
                    <a:ext cx="109326" cy="10222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25400" cap="flat" cmpd="sng" algn="ctr">
                    <a:solidFill>
                      <a:sysClr val="windowText" lastClr="000000"/>
                    </a:solidFill>
                    <a:prstDash val="solid"/>
                    <a:headEnd type="none"/>
                    <a:tailEnd type="none"/>
                  </a:ln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30" name="フリーフォーム 29"/>
                <xdr:cNvSpPr/>
              </xdr:nvSpPr>
              <xdr:spPr>
                <a:xfrm rot="12570737">
                  <a:off x="-385630" y="983867"/>
                  <a:ext cx="420851" cy="685854"/>
                </a:xfrm>
                <a:custGeom>
                  <a:avLst/>
                  <a:gdLst>
                    <a:gd name="connsiteX0" fmla="*/ 0 w 416966"/>
                    <a:gd name="connsiteY0" fmla="*/ 0 h 687629"/>
                    <a:gd name="connsiteX1" fmla="*/ 416966 w 416966"/>
                    <a:gd name="connsiteY1" fmla="*/ 687629 h 687629"/>
                    <a:gd name="connsiteX2" fmla="*/ 336499 w 416966"/>
                    <a:gd name="connsiteY2" fmla="*/ 365760 h 687629"/>
                    <a:gd name="connsiteX3" fmla="*/ 197510 w 416966"/>
                    <a:gd name="connsiteY3" fmla="*/ 453542 h 68762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h="687629" w="416966">
                      <a:moveTo>
                        <a:pt x="0" y="0"/>
                      </a:moveTo>
                      <a:lnTo>
                        <a:pt x="416966" y="687629"/>
                      </a:lnTo>
                      <a:lnTo>
                        <a:pt x="336499" y="365760"/>
                      </a:lnTo>
                      <a:lnTo>
                        <a:pt x="197510" y="453542"/>
                      </a:lnTo>
                    </a:path>
                  </a:pathLst>
                </a:custGeom>
                <a:noFill/>
                <a:ln w="25400" cap="flat" cmpd="sng" algn="ctr">
                  <a:solidFill>
                    <a:sysClr val="windowText" lastClr="000000"/>
                  </a:solidFill>
                  <a:prstDash val="solid"/>
                  <a:headEnd type="none"/>
                  <a:tailEnd type="none"/>
                </a:ln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23" name="テキスト ボックス 2"/>
              <xdr:cNvSpPr txBox="1">
                <a:spLocks noChangeArrowheads="1"/>
              </xdr:cNvSpPr>
            </xdr:nvSpPr>
            <xdr:spPr bwMode="auto">
              <a:xfrm>
                <a:off x="357193" y="964106"/>
                <a:ext cx="283883" cy="291975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just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Ｎ</a:t>
                </a:r>
              </a:p>
            </xdr:txBody>
          </xdr:sp>
          <xdr:sp macro="" textlink="">
            <xdr:nvSpPr>
              <xdr:cNvPr id="24" name="テキスト ボックス 2"/>
              <xdr:cNvSpPr txBox="1">
                <a:spLocks noChangeArrowheads="1"/>
              </xdr:cNvSpPr>
            </xdr:nvSpPr>
            <xdr:spPr bwMode="auto">
              <a:xfrm>
                <a:off x="2015997" y="3102714"/>
                <a:ext cx="366646" cy="330058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Ｂ</a:t>
                </a:r>
              </a:p>
            </xdr:txBody>
          </xdr:sp>
          <xdr:sp macro="" textlink="">
            <xdr:nvSpPr>
              <xdr:cNvPr id="25" name="テキスト ボックス 2"/>
              <xdr:cNvSpPr txBox="1">
                <a:spLocks noChangeArrowheads="1"/>
              </xdr:cNvSpPr>
            </xdr:nvSpPr>
            <xdr:spPr bwMode="auto">
              <a:xfrm>
                <a:off x="3385579" y="2350350"/>
                <a:ext cx="366646" cy="330058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Ｃ</a:t>
                </a:r>
              </a:p>
            </xdr:txBody>
          </xdr:sp>
          <xdr:sp macro="" textlink="">
            <xdr:nvSpPr>
              <xdr:cNvPr id="26" name="テキスト ボックス 2"/>
              <xdr:cNvSpPr txBox="1">
                <a:spLocks noChangeArrowheads="1"/>
              </xdr:cNvSpPr>
            </xdr:nvSpPr>
            <xdr:spPr bwMode="auto">
              <a:xfrm>
                <a:off x="2418240" y="47560"/>
                <a:ext cx="366646" cy="330058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Ｄ</a:t>
                </a:r>
              </a:p>
            </xdr:txBody>
          </xdr:sp>
          <xdr:sp macro="" textlink="">
            <xdr:nvSpPr>
              <xdr:cNvPr id="27" name="テキスト ボックス 2"/>
              <xdr:cNvSpPr txBox="1">
                <a:spLocks noChangeArrowheads="1"/>
              </xdr:cNvSpPr>
            </xdr:nvSpPr>
            <xdr:spPr bwMode="auto">
              <a:xfrm>
                <a:off x="871564" y="226130"/>
                <a:ext cx="366646" cy="330058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Ｅ</a:t>
                </a:r>
              </a:p>
            </xdr:txBody>
          </xdr:sp>
          <xdr:sp macro="" textlink="">
            <xdr:nvSpPr>
              <xdr:cNvPr id="28" name="テキスト ボックス 2"/>
              <xdr:cNvSpPr txBox="1">
                <a:spLocks noChangeArrowheads="1"/>
              </xdr:cNvSpPr>
            </xdr:nvSpPr>
            <xdr:spPr bwMode="auto">
              <a:xfrm>
                <a:off x="192558" y="1964436"/>
                <a:ext cx="366646" cy="330058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rot="0" vert="horz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ja-JP" sz="1400">
                    <a:effectLst/>
                    <a:latin typeface="游明朝"/>
                    <a:cs typeface="Times New Roman"/>
                  </a:rPr>
                  <a:t>Ａ</a:t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</xdr:colOff>
      <xdr:row>9</xdr:row>
      <xdr:rowOff>0</xdr:rowOff>
    </xdr:from>
    <xdr:ext cx="723900" cy="409575"/>
    <xdr:sp macro="" textlink="">
      <xdr:nvSpPr>
        <xdr:cNvPr id="2" name="テキスト ボックス 1"/>
        <xdr:cNvSpPr txBox="1"/>
      </xdr:nvSpPr>
      <xdr:spPr>
        <a:xfrm>
          <a:off x="12592050" y="3038475"/>
          <a:ext cx="72390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AB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19050</xdr:colOff>
      <xdr:row>13</xdr:row>
      <xdr:rowOff>0</xdr:rowOff>
    </xdr:from>
    <xdr:ext cx="723900" cy="409575"/>
    <xdr:sp macro="" textlink="">
      <xdr:nvSpPr>
        <xdr:cNvPr id="3" name="テキスト ボックス 2"/>
        <xdr:cNvSpPr txBox="1"/>
      </xdr:nvSpPr>
      <xdr:spPr>
        <a:xfrm>
          <a:off x="12592050" y="4562475"/>
          <a:ext cx="72390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BC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19050</xdr:colOff>
      <xdr:row>17</xdr:row>
      <xdr:rowOff>0</xdr:rowOff>
    </xdr:from>
    <xdr:ext cx="723900" cy="409575"/>
    <xdr:sp macro="" textlink="">
      <xdr:nvSpPr>
        <xdr:cNvPr id="4" name="テキスト ボックス 3"/>
        <xdr:cNvSpPr txBox="1"/>
      </xdr:nvSpPr>
      <xdr:spPr>
        <a:xfrm>
          <a:off x="12592050" y="6086475"/>
          <a:ext cx="72390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CD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19050</xdr:colOff>
      <xdr:row>21</xdr:row>
      <xdr:rowOff>0</xdr:rowOff>
    </xdr:from>
    <xdr:ext cx="723900" cy="409575"/>
    <xdr:sp macro="" textlink="">
      <xdr:nvSpPr>
        <xdr:cNvPr id="5" name="テキスト ボックス 4"/>
        <xdr:cNvSpPr txBox="1"/>
      </xdr:nvSpPr>
      <xdr:spPr>
        <a:xfrm>
          <a:off x="12592050" y="7610475"/>
          <a:ext cx="72390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DE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19050</xdr:colOff>
      <xdr:row>25</xdr:row>
      <xdr:rowOff>0</xdr:rowOff>
    </xdr:from>
    <xdr:ext cx="723900" cy="409575"/>
    <xdr:sp macro="" textlink="">
      <xdr:nvSpPr>
        <xdr:cNvPr id="6" name="テキスト ボックス 5"/>
        <xdr:cNvSpPr txBox="1"/>
      </xdr:nvSpPr>
      <xdr:spPr>
        <a:xfrm>
          <a:off x="12592050" y="9134475"/>
          <a:ext cx="72390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EA</a:t>
          </a:r>
          <a:endParaRPr kumimoji="1" lang="ja-JP" altLang="en-US" sz="2000"/>
        </a:p>
      </xdr:txBody>
    </xdr:sp>
    <xdr:clientData/>
  </xdr:oneCellAnchor>
  <xdr:twoCellAnchor>
    <xdr:from>
      <xdr:col>18</xdr:col>
      <xdr:colOff>428625</xdr:colOff>
      <xdr:row>104</xdr:row>
      <xdr:rowOff>0</xdr:rowOff>
    </xdr:from>
    <xdr:to>
      <xdr:col>22</xdr:col>
      <xdr:colOff>400050</xdr:colOff>
      <xdr:row>107</xdr:row>
      <xdr:rowOff>123825</xdr:rowOff>
    </xdr:to>
    <xdr:sp macro="" textlink="">
      <xdr:nvSpPr>
        <xdr:cNvPr id="10" name="四角形吹き出し 9"/>
        <xdr:cNvSpPr/>
      </xdr:nvSpPr>
      <xdr:spPr>
        <a:xfrm>
          <a:off x="10429875" y="28060650"/>
          <a:ext cx="2543175" cy="638175"/>
        </a:xfrm>
        <a:prstGeom prst="wedgeRectCallout">
          <a:avLst>
            <a:gd name="adj1" fmla="val -29532"/>
            <a:gd name="adj2" fmla="val -102996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⑩　少数第３位までの調整量①と少数第７位までの調整量②の差の絶対値</a:t>
          </a:r>
          <a:endParaRPr kumimoji="1" lang="en-US" altLang="ja-JP" sz="1100"/>
        </a:p>
        <a:p>
          <a:pPr algn="l"/>
          <a:r>
            <a:rPr kumimoji="1" lang="ja-JP" altLang="en-US" sz="1100"/>
            <a:t>ｌ①－②ｌ　（ＡＢＳ：絶対値）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5"/>
  <sheetViews>
    <sheetView tabSelected="1" zoomScale="87" zoomScaleNormal="87" zoomScaleSheetLayoutView="110" workbookViewId="0" topLeftCell="P25">
      <selection activeCell="X32" sqref="X32:AB32"/>
    </sheetView>
  </sheetViews>
  <sheetFormatPr defaultColWidth="9.00390625" defaultRowHeight="13.5"/>
  <cols>
    <col min="1" max="20" width="5.625" style="10" customWidth="1"/>
    <col min="21" max="23" width="8.75390625" style="10" customWidth="1"/>
    <col min="24" max="53" width="5.625" style="10" customWidth="1"/>
    <col min="54" max="16384" width="9.00390625" style="10" customWidth="1"/>
  </cols>
  <sheetData>
    <row r="1" spans="1:29" ht="28.5">
      <c r="A1" s="160" t="s">
        <v>108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12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35.1" customHeight="1" thickBot="1">
      <c r="A3" s="161" t="s">
        <v>54</v>
      </c>
      <c r="B3" s="162"/>
      <c r="C3" s="31"/>
      <c r="D3" s="167" t="s">
        <v>50</v>
      </c>
      <c r="E3" s="168"/>
      <c r="F3" s="36" t="s">
        <v>109</v>
      </c>
      <c r="G3" s="25"/>
      <c r="H3" s="36" t="s">
        <v>35</v>
      </c>
      <c r="I3" s="25"/>
      <c r="J3" s="36" t="s">
        <v>36</v>
      </c>
      <c r="K3" s="25"/>
      <c r="L3" s="36" t="s">
        <v>37</v>
      </c>
      <c r="M3" s="24"/>
      <c r="N3" s="24"/>
      <c r="O3" s="35" t="s">
        <v>51</v>
      </c>
      <c r="P3" s="24"/>
      <c r="Q3" s="24"/>
      <c r="R3" s="26"/>
      <c r="S3" s="169" t="s">
        <v>80</v>
      </c>
      <c r="T3" s="170"/>
      <c r="U3" s="171"/>
      <c r="V3" s="171"/>
      <c r="W3" s="169" t="s">
        <v>53</v>
      </c>
      <c r="X3" s="170"/>
      <c r="Y3" s="39"/>
      <c r="Z3" s="24"/>
      <c r="AA3" s="41" t="s">
        <v>38</v>
      </c>
      <c r="AB3" s="37"/>
      <c r="AC3" s="40" t="s">
        <v>39</v>
      </c>
    </row>
    <row r="4" spans="1:29" ht="15" customHeight="1">
      <c r="A4" s="163"/>
      <c r="B4" s="164"/>
      <c r="C4" s="31"/>
      <c r="D4" s="172" t="s">
        <v>49</v>
      </c>
      <c r="E4" s="173"/>
      <c r="F4" s="178"/>
      <c r="G4" s="179"/>
      <c r="H4" s="179"/>
      <c r="I4" s="179"/>
      <c r="J4" s="179"/>
      <c r="K4" s="179"/>
      <c r="L4" s="179"/>
      <c r="M4" s="179"/>
      <c r="N4" s="184" t="s">
        <v>52</v>
      </c>
      <c r="O4" s="185"/>
      <c r="P4" s="185" t="s">
        <v>46</v>
      </c>
      <c r="Q4" s="185"/>
      <c r="R4" s="185"/>
      <c r="S4" s="188"/>
      <c r="T4" s="188"/>
      <c r="U4" s="188"/>
      <c r="V4" s="188"/>
      <c r="W4" s="190" t="s">
        <v>65</v>
      </c>
      <c r="X4" s="185"/>
      <c r="Y4" s="43"/>
      <c r="Z4" s="43"/>
      <c r="AA4" s="43"/>
      <c r="AB4" s="43"/>
      <c r="AC4" s="192" t="s">
        <v>64</v>
      </c>
    </row>
    <row r="5" spans="1:29" ht="15" customHeight="1">
      <c r="A5" s="163"/>
      <c r="B5" s="164"/>
      <c r="C5" s="31"/>
      <c r="D5" s="174"/>
      <c r="E5" s="175"/>
      <c r="F5" s="180"/>
      <c r="G5" s="181"/>
      <c r="H5" s="181"/>
      <c r="I5" s="181"/>
      <c r="J5" s="181"/>
      <c r="K5" s="181"/>
      <c r="L5" s="181"/>
      <c r="M5" s="181"/>
      <c r="N5" s="186"/>
      <c r="O5" s="132"/>
      <c r="P5" s="132"/>
      <c r="Q5" s="132"/>
      <c r="R5" s="132"/>
      <c r="S5" s="189"/>
      <c r="T5" s="189"/>
      <c r="U5" s="189"/>
      <c r="V5" s="189"/>
      <c r="W5" s="191"/>
      <c r="X5" s="132"/>
      <c r="Y5" s="42"/>
      <c r="Z5" s="42"/>
      <c r="AA5" s="42"/>
      <c r="AB5" s="42"/>
      <c r="AC5" s="193"/>
    </row>
    <row r="6" spans="1:29" ht="15" customHeight="1">
      <c r="A6" s="163"/>
      <c r="B6" s="164"/>
      <c r="C6" s="31"/>
      <c r="D6" s="174"/>
      <c r="E6" s="175"/>
      <c r="F6" s="180"/>
      <c r="G6" s="181"/>
      <c r="H6" s="181"/>
      <c r="I6" s="181"/>
      <c r="J6" s="181"/>
      <c r="K6" s="181"/>
      <c r="L6" s="181"/>
      <c r="M6" s="181"/>
      <c r="N6" s="186"/>
      <c r="O6" s="132"/>
      <c r="P6" s="132" t="s">
        <v>47</v>
      </c>
      <c r="Q6" s="132"/>
      <c r="R6" s="132"/>
      <c r="S6" s="134"/>
      <c r="T6" s="134"/>
      <c r="U6" s="134"/>
      <c r="V6" s="134"/>
      <c r="W6" s="186"/>
      <c r="X6" s="132"/>
      <c r="Y6" s="42"/>
      <c r="Z6" s="42"/>
      <c r="AA6" s="42"/>
      <c r="AB6" s="42"/>
      <c r="AC6" s="194"/>
    </row>
    <row r="7" spans="1:29" ht="15" customHeight="1">
      <c r="A7" s="163"/>
      <c r="B7" s="164"/>
      <c r="C7" s="31"/>
      <c r="D7" s="174"/>
      <c r="E7" s="175"/>
      <c r="F7" s="180"/>
      <c r="G7" s="181"/>
      <c r="H7" s="181"/>
      <c r="I7" s="181"/>
      <c r="J7" s="181"/>
      <c r="K7" s="181"/>
      <c r="L7" s="181"/>
      <c r="M7" s="181"/>
      <c r="N7" s="186"/>
      <c r="O7" s="132"/>
      <c r="P7" s="132"/>
      <c r="Q7" s="132"/>
      <c r="R7" s="132"/>
      <c r="S7" s="195"/>
      <c r="T7" s="195"/>
      <c r="U7" s="195"/>
      <c r="V7" s="195"/>
      <c r="W7" s="186"/>
      <c r="X7" s="132"/>
      <c r="Y7" s="45"/>
      <c r="Z7" s="45"/>
      <c r="AA7" s="45"/>
      <c r="AB7" s="45"/>
      <c r="AC7" s="196" t="s">
        <v>64</v>
      </c>
    </row>
    <row r="8" spans="1:29" ht="15" customHeight="1">
      <c r="A8" s="163"/>
      <c r="B8" s="164"/>
      <c r="C8" s="31"/>
      <c r="D8" s="174"/>
      <c r="E8" s="175"/>
      <c r="F8" s="180"/>
      <c r="G8" s="181"/>
      <c r="H8" s="181"/>
      <c r="I8" s="181"/>
      <c r="J8" s="181"/>
      <c r="K8" s="181"/>
      <c r="L8" s="181"/>
      <c r="M8" s="181"/>
      <c r="N8" s="186"/>
      <c r="O8" s="132"/>
      <c r="P8" s="132" t="s">
        <v>48</v>
      </c>
      <c r="Q8" s="132"/>
      <c r="R8" s="132"/>
      <c r="S8" s="134"/>
      <c r="T8" s="134"/>
      <c r="U8" s="134"/>
      <c r="V8" s="135"/>
      <c r="W8" s="186"/>
      <c r="X8" s="132"/>
      <c r="Y8" s="42"/>
      <c r="Z8" s="42"/>
      <c r="AA8" s="42"/>
      <c r="AB8" s="42"/>
      <c r="AC8" s="193"/>
    </row>
    <row r="9" spans="1:29" ht="15" customHeight="1" thickBot="1">
      <c r="A9" s="165"/>
      <c r="B9" s="166"/>
      <c r="C9" s="23"/>
      <c r="D9" s="176"/>
      <c r="E9" s="177"/>
      <c r="F9" s="182"/>
      <c r="G9" s="183"/>
      <c r="H9" s="183"/>
      <c r="I9" s="183"/>
      <c r="J9" s="183"/>
      <c r="K9" s="183"/>
      <c r="L9" s="183"/>
      <c r="M9" s="183"/>
      <c r="N9" s="187"/>
      <c r="O9" s="133"/>
      <c r="P9" s="133"/>
      <c r="Q9" s="133"/>
      <c r="R9" s="133"/>
      <c r="S9" s="136"/>
      <c r="T9" s="136"/>
      <c r="U9" s="136"/>
      <c r="V9" s="137"/>
      <c r="W9" s="187"/>
      <c r="X9" s="133"/>
      <c r="Y9" s="44"/>
      <c r="Z9" s="44"/>
      <c r="AA9" s="44"/>
      <c r="AB9" s="44"/>
      <c r="AC9" s="197"/>
    </row>
    <row r="10" spans="1:29" ht="6.75" customHeight="1">
      <c r="A10" s="23"/>
      <c r="B10" s="23"/>
      <c r="C10" s="23"/>
      <c r="D10" s="32"/>
      <c r="E10" s="32"/>
      <c r="F10" s="34"/>
      <c r="G10" s="34"/>
      <c r="H10" s="34"/>
      <c r="I10" s="34"/>
      <c r="J10" s="34"/>
      <c r="K10" s="34"/>
      <c r="L10" s="34"/>
      <c r="M10" s="34"/>
      <c r="N10" s="32"/>
      <c r="O10" s="32"/>
      <c r="P10" s="33"/>
      <c r="Q10" s="33"/>
      <c r="R10" s="33"/>
      <c r="S10" s="33"/>
      <c r="T10" s="33"/>
      <c r="U10" s="33"/>
      <c r="V10" s="27"/>
      <c r="W10" s="27"/>
      <c r="X10" s="27"/>
      <c r="Y10" s="27"/>
      <c r="Z10" s="27"/>
      <c r="AA10" s="27"/>
      <c r="AB10" s="27"/>
      <c r="AC10" s="23"/>
    </row>
    <row r="11" spans="1:29" ht="24.95" customHeight="1" thickBot="1">
      <c r="A11" s="23"/>
      <c r="B11" s="23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8" t="s">
        <v>40</v>
      </c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3"/>
    </row>
    <row r="12" spans="1:29" ht="24.95" customHeight="1" thickBot="1">
      <c r="A12" s="29"/>
      <c r="B12" s="38" t="s">
        <v>66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7"/>
      <c r="O12" s="141" t="s">
        <v>41</v>
      </c>
      <c r="P12" s="142"/>
      <c r="Q12" s="143" t="s">
        <v>42</v>
      </c>
      <c r="R12" s="142"/>
      <c r="S12" s="143" t="s">
        <v>43</v>
      </c>
      <c r="T12" s="142"/>
      <c r="U12" s="143" t="s">
        <v>44</v>
      </c>
      <c r="V12" s="144"/>
      <c r="W12" s="142"/>
      <c r="X12" s="143" t="s">
        <v>45</v>
      </c>
      <c r="Y12" s="144"/>
      <c r="Z12" s="144"/>
      <c r="AA12" s="144"/>
      <c r="AB12" s="145"/>
      <c r="AC12" s="23"/>
    </row>
    <row r="13" spans="1:29" ht="24.95" customHeight="1" thickTop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7"/>
      <c r="O13" s="146" t="s">
        <v>81</v>
      </c>
      <c r="P13" s="147"/>
      <c r="Q13" s="150" t="s">
        <v>82</v>
      </c>
      <c r="R13" s="151"/>
      <c r="S13" s="152" t="s">
        <v>83</v>
      </c>
      <c r="T13" s="153"/>
      <c r="U13" s="46">
        <v>0</v>
      </c>
      <c r="V13" s="47">
        <v>0</v>
      </c>
      <c r="W13" s="48">
        <v>0</v>
      </c>
      <c r="X13" s="154"/>
      <c r="Y13" s="155"/>
      <c r="Z13" s="155"/>
      <c r="AA13" s="155"/>
      <c r="AB13" s="156"/>
      <c r="AC13" s="23"/>
    </row>
    <row r="14" spans="1:29" ht="24.95" customHeight="1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7"/>
      <c r="O14" s="148"/>
      <c r="P14" s="149"/>
      <c r="Q14" s="119"/>
      <c r="R14" s="108"/>
      <c r="S14" s="123" t="s">
        <v>84</v>
      </c>
      <c r="T14" s="124"/>
      <c r="U14" s="49">
        <v>334</v>
      </c>
      <c r="V14" s="50">
        <v>19</v>
      </c>
      <c r="W14" s="51">
        <v>50</v>
      </c>
      <c r="X14" s="138"/>
      <c r="Y14" s="139"/>
      <c r="Z14" s="139"/>
      <c r="AA14" s="139"/>
      <c r="AB14" s="140"/>
      <c r="AC14" s="23"/>
    </row>
    <row r="15" spans="1:29" ht="24.9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7"/>
      <c r="O15" s="158" t="s">
        <v>81</v>
      </c>
      <c r="P15" s="159"/>
      <c r="Q15" s="109" t="s">
        <v>82</v>
      </c>
      <c r="R15" s="106"/>
      <c r="S15" s="110" t="s">
        <v>85</v>
      </c>
      <c r="T15" s="112"/>
      <c r="U15" s="52">
        <v>0</v>
      </c>
      <c r="V15" s="53">
        <v>0</v>
      </c>
      <c r="W15" s="54">
        <v>0</v>
      </c>
      <c r="X15" s="120">
        <v>26.472</v>
      </c>
      <c r="Y15" s="121"/>
      <c r="Z15" s="121"/>
      <c r="AA15" s="121"/>
      <c r="AB15" s="122"/>
      <c r="AC15" s="23"/>
    </row>
    <row r="16" spans="1:29" ht="24.9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7"/>
      <c r="O16" s="158"/>
      <c r="P16" s="159"/>
      <c r="Q16" s="110"/>
      <c r="R16" s="111"/>
      <c r="S16" s="116" t="s">
        <v>84</v>
      </c>
      <c r="T16" s="117"/>
      <c r="U16" s="55">
        <v>90</v>
      </c>
      <c r="V16" s="56">
        <v>5</v>
      </c>
      <c r="W16" s="57">
        <v>0</v>
      </c>
      <c r="X16" s="120">
        <v>32.581</v>
      </c>
      <c r="Y16" s="121"/>
      <c r="Z16" s="121"/>
      <c r="AA16" s="121"/>
      <c r="AB16" s="122"/>
      <c r="AC16" s="23"/>
    </row>
    <row r="17" spans="1:29" ht="24.9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7"/>
      <c r="O17" s="158"/>
      <c r="P17" s="159"/>
      <c r="Q17" s="103" t="s">
        <v>86</v>
      </c>
      <c r="R17" s="118"/>
      <c r="S17" s="116" t="s">
        <v>84</v>
      </c>
      <c r="T17" s="117"/>
      <c r="U17" s="55">
        <v>270</v>
      </c>
      <c r="V17" s="56">
        <v>5</v>
      </c>
      <c r="W17" s="57">
        <v>15</v>
      </c>
      <c r="X17" s="120">
        <v>32.581</v>
      </c>
      <c r="Y17" s="121"/>
      <c r="Z17" s="121"/>
      <c r="AA17" s="121"/>
      <c r="AB17" s="122"/>
      <c r="AC17" s="22"/>
    </row>
    <row r="18" spans="1:29" ht="24.95" customHeight="1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7"/>
      <c r="O18" s="158"/>
      <c r="P18" s="159"/>
      <c r="Q18" s="109"/>
      <c r="R18" s="106"/>
      <c r="S18" s="103" t="s">
        <v>85</v>
      </c>
      <c r="T18" s="104"/>
      <c r="U18" s="49">
        <v>180</v>
      </c>
      <c r="V18" s="50">
        <v>0</v>
      </c>
      <c r="W18" s="51">
        <v>0</v>
      </c>
      <c r="X18" s="125">
        <v>26.472</v>
      </c>
      <c r="Y18" s="126"/>
      <c r="Z18" s="126"/>
      <c r="AA18" s="126"/>
      <c r="AB18" s="127"/>
      <c r="AC18" s="22"/>
    </row>
    <row r="19" spans="1:29" ht="24.9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7"/>
      <c r="O19" s="157" t="s">
        <v>84</v>
      </c>
      <c r="P19" s="129"/>
      <c r="Q19" s="128" t="s">
        <v>82</v>
      </c>
      <c r="R19" s="129"/>
      <c r="S19" s="130" t="s">
        <v>81</v>
      </c>
      <c r="T19" s="131"/>
      <c r="U19" s="52">
        <v>0</v>
      </c>
      <c r="V19" s="53">
        <v>0</v>
      </c>
      <c r="W19" s="54">
        <v>0</v>
      </c>
      <c r="X19" s="113">
        <v>32.583</v>
      </c>
      <c r="Y19" s="114"/>
      <c r="Z19" s="114"/>
      <c r="AA19" s="114"/>
      <c r="AB19" s="115"/>
      <c r="AC19" s="22"/>
    </row>
    <row r="20" spans="1:29" ht="24.9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7"/>
      <c r="O20" s="105"/>
      <c r="P20" s="106"/>
      <c r="Q20" s="110"/>
      <c r="R20" s="111"/>
      <c r="S20" s="116" t="s">
        <v>87</v>
      </c>
      <c r="T20" s="117"/>
      <c r="U20" s="55">
        <v>111</v>
      </c>
      <c r="V20" s="56">
        <v>55</v>
      </c>
      <c r="W20" s="57">
        <v>45</v>
      </c>
      <c r="X20" s="120">
        <v>38.972</v>
      </c>
      <c r="Y20" s="121"/>
      <c r="Z20" s="121"/>
      <c r="AA20" s="121"/>
      <c r="AB20" s="122"/>
      <c r="AC20" s="22"/>
    </row>
    <row r="21" spans="1:29" ht="24.9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7"/>
      <c r="O21" s="105"/>
      <c r="P21" s="106"/>
      <c r="Q21" s="103" t="s">
        <v>86</v>
      </c>
      <c r="R21" s="118"/>
      <c r="S21" s="116" t="s">
        <v>87</v>
      </c>
      <c r="T21" s="117"/>
      <c r="U21" s="55">
        <v>291</v>
      </c>
      <c r="V21" s="56">
        <v>55</v>
      </c>
      <c r="W21" s="57">
        <v>30</v>
      </c>
      <c r="X21" s="120">
        <v>38.972</v>
      </c>
      <c r="Y21" s="121"/>
      <c r="Z21" s="121"/>
      <c r="AA21" s="121"/>
      <c r="AB21" s="122"/>
      <c r="AC21" s="22"/>
    </row>
    <row r="22" spans="1:29" ht="24.95" customHeight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7"/>
      <c r="O22" s="107"/>
      <c r="P22" s="108"/>
      <c r="Q22" s="119"/>
      <c r="R22" s="108"/>
      <c r="S22" s="123" t="s">
        <v>81</v>
      </c>
      <c r="T22" s="124"/>
      <c r="U22" s="49">
        <v>179</v>
      </c>
      <c r="V22" s="50">
        <v>59</v>
      </c>
      <c r="W22" s="51">
        <v>50</v>
      </c>
      <c r="X22" s="125">
        <v>32.582</v>
      </c>
      <c r="Y22" s="126"/>
      <c r="Z22" s="126"/>
      <c r="AA22" s="126"/>
      <c r="AB22" s="127"/>
      <c r="AC22" s="22"/>
    </row>
    <row r="23" spans="1:29" ht="24.9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7"/>
      <c r="O23" s="105" t="s">
        <v>87</v>
      </c>
      <c r="P23" s="106"/>
      <c r="Q23" s="109" t="s">
        <v>82</v>
      </c>
      <c r="R23" s="106"/>
      <c r="S23" s="110" t="s">
        <v>84</v>
      </c>
      <c r="T23" s="112"/>
      <c r="U23" s="52">
        <v>0</v>
      </c>
      <c r="V23" s="53">
        <v>0</v>
      </c>
      <c r="W23" s="54">
        <v>0</v>
      </c>
      <c r="X23" s="113">
        <v>38.972</v>
      </c>
      <c r="Y23" s="114"/>
      <c r="Z23" s="114"/>
      <c r="AA23" s="114"/>
      <c r="AB23" s="115"/>
      <c r="AC23" s="22"/>
    </row>
    <row r="24" spans="1:29" ht="24.9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7"/>
      <c r="O24" s="105"/>
      <c r="P24" s="106"/>
      <c r="Q24" s="110"/>
      <c r="R24" s="111"/>
      <c r="S24" s="116" t="s">
        <v>88</v>
      </c>
      <c r="T24" s="117"/>
      <c r="U24" s="55">
        <v>99</v>
      </c>
      <c r="V24" s="56">
        <v>8</v>
      </c>
      <c r="W24" s="57">
        <v>55</v>
      </c>
      <c r="X24" s="120">
        <v>30.58</v>
      </c>
      <c r="Y24" s="121"/>
      <c r="Z24" s="121"/>
      <c r="AA24" s="121"/>
      <c r="AB24" s="122"/>
      <c r="AC24" s="22"/>
    </row>
    <row r="25" spans="1:29" ht="24.9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7"/>
      <c r="O25" s="105"/>
      <c r="P25" s="106"/>
      <c r="Q25" s="103" t="s">
        <v>86</v>
      </c>
      <c r="R25" s="118"/>
      <c r="S25" s="116" t="s">
        <v>88</v>
      </c>
      <c r="T25" s="117"/>
      <c r="U25" s="55">
        <v>279</v>
      </c>
      <c r="V25" s="56">
        <v>8</v>
      </c>
      <c r="W25" s="57">
        <v>50</v>
      </c>
      <c r="X25" s="120">
        <v>30.58</v>
      </c>
      <c r="Y25" s="121"/>
      <c r="Z25" s="121"/>
      <c r="AA25" s="121"/>
      <c r="AB25" s="122"/>
      <c r="AC25" s="22"/>
    </row>
    <row r="26" spans="1:29" ht="24.9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7"/>
      <c r="O26" s="105"/>
      <c r="P26" s="106"/>
      <c r="Q26" s="109"/>
      <c r="R26" s="106"/>
      <c r="S26" s="103" t="s">
        <v>84</v>
      </c>
      <c r="T26" s="104"/>
      <c r="U26" s="49">
        <v>180</v>
      </c>
      <c r="V26" s="50">
        <v>0</v>
      </c>
      <c r="W26" s="51">
        <v>0</v>
      </c>
      <c r="X26" s="125">
        <v>38.971</v>
      </c>
      <c r="Y26" s="126"/>
      <c r="Z26" s="126"/>
      <c r="AA26" s="126"/>
      <c r="AB26" s="127"/>
      <c r="AC26" s="22"/>
    </row>
    <row r="27" spans="1:29" ht="24.95" customHeight="1">
      <c r="A27" s="23"/>
      <c r="B27" s="23"/>
      <c r="C27" s="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57" t="s">
        <v>88</v>
      </c>
      <c r="P27" s="129"/>
      <c r="Q27" s="128" t="s">
        <v>82</v>
      </c>
      <c r="R27" s="129"/>
      <c r="S27" s="130" t="s">
        <v>87</v>
      </c>
      <c r="T27" s="131"/>
      <c r="U27" s="52">
        <v>0</v>
      </c>
      <c r="V27" s="53">
        <v>0</v>
      </c>
      <c r="W27" s="54">
        <v>0</v>
      </c>
      <c r="X27" s="113">
        <v>30.582</v>
      </c>
      <c r="Y27" s="114"/>
      <c r="Z27" s="114"/>
      <c r="AA27" s="114"/>
      <c r="AB27" s="115"/>
      <c r="AC27" s="22"/>
    </row>
    <row r="28" spans="1:29" ht="24.95" customHeight="1">
      <c r="A28" s="23"/>
      <c r="B28" s="23"/>
      <c r="C28" s="23"/>
      <c r="D28" s="27"/>
      <c r="E28" s="27"/>
      <c r="F28" s="27"/>
      <c r="G28" s="30"/>
      <c r="H28" s="30"/>
      <c r="I28" s="30"/>
      <c r="J28" s="30"/>
      <c r="K28" s="27"/>
      <c r="L28" s="27"/>
      <c r="M28" s="27"/>
      <c r="N28" s="27"/>
      <c r="O28" s="105"/>
      <c r="P28" s="106"/>
      <c r="Q28" s="110"/>
      <c r="R28" s="111"/>
      <c r="S28" s="116" t="s">
        <v>85</v>
      </c>
      <c r="T28" s="117"/>
      <c r="U28" s="55">
        <v>98</v>
      </c>
      <c r="V28" s="56">
        <v>24</v>
      </c>
      <c r="W28" s="57">
        <v>40</v>
      </c>
      <c r="X28" s="120">
        <v>33.003</v>
      </c>
      <c r="Y28" s="121"/>
      <c r="Z28" s="121"/>
      <c r="AA28" s="121"/>
      <c r="AB28" s="122"/>
      <c r="AC28" s="22"/>
    </row>
    <row r="29" spans="1:29" ht="24.95" customHeight="1">
      <c r="A29" s="23"/>
      <c r="B29" s="23"/>
      <c r="C29" s="23"/>
      <c r="D29" s="27"/>
      <c r="E29" s="27"/>
      <c r="F29" s="27"/>
      <c r="G29" s="30"/>
      <c r="H29" s="30"/>
      <c r="I29" s="30"/>
      <c r="J29" s="30"/>
      <c r="K29" s="27"/>
      <c r="L29" s="27"/>
      <c r="M29" s="27"/>
      <c r="N29" s="27"/>
      <c r="O29" s="105"/>
      <c r="P29" s="106"/>
      <c r="Q29" s="103" t="s">
        <v>86</v>
      </c>
      <c r="R29" s="118"/>
      <c r="S29" s="116" t="s">
        <v>85</v>
      </c>
      <c r="T29" s="117"/>
      <c r="U29" s="55">
        <v>278</v>
      </c>
      <c r="V29" s="56">
        <v>24</v>
      </c>
      <c r="W29" s="57">
        <v>40</v>
      </c>
      <c r="X29" s="120">
        <v>33.004</v>
      </c>
      <c r="Y29" s="121"/>
      <c r="Z29" s="121"/>
      <c r="AA29" s="121"/>
      <c r="AB29" s="122"/>
      <c r="AC29" s="22"/>
    </row>
    <row r="30" spans="1:29" ht="24.95" customHeight="1" thickBot="1">
      <c r="A30" s="23"/>
      <c r="B30" s="23"/>
      <c r="C30" s="23"/>
      <c r="D30" s="27"/>
      <c r="E30" s="27"/>
      <c r="F30" s="27"/>
      <c r="G30" s="30"/>
      <c r="H30" s="30"/>
      <c r="I30" s="30"/>
      <c r="J30" s="30"/>
      <c r="K30" s="27"/>
      <c r="L30" s="27"/>
      <c r="M30" s="27"/>
      <c r="N30" s="27"/>
      <c r="O30" s="107"/>
      <c r="P30" s="108"/>
      <c r="Q30" s="119"/>
      <c r="R30" s="108"/>
      <c r="S30" s="123" t="s">
        <v>87</v>
      </c>
      <c r="T30" s="124"/>
      <c r="U30" s="49">
        <v>180</v>
      </c>
      <c r="V30" s="50">
        <v>0</v>
      </c>
      <c r="W30" s="51">
        <v>10</v>
      </c>
      <c r="X30" s="125">
        <v>30.583</v>
      </c>
      <c r="Y30" s="126"/>
      <c r="Z30" s="126"/>
      <c r="AA30" s="126"/>
      <c r="AB30" s="127"/>
      <c r="AC30" s="22"/>
    </row>
    <row r="31" spans="1:29" ht="24.95" customHeight="1">
      <c r="A31" s="23"/>
      <c r="B31" s="23"/>
      <c r="C31" s="23"/>
      <c r="D31" s="27"/>
      <c r="E31" s="27"/>
      <c r="F31" s="27"/>
      <c r="G31" s="30"/>
      <c r="H31" s="30"/>
      <c r="I31" s="30"/>
      <c r="J31" s="30"/>
      <c r="K31" s="27"/>
      <c r="L31" s="27"/>
      <c r="M31" s="27"/>
      <c r="N31" s="27"/>
      <c r="O31" s="105" t="s">
        <v>85</v>
      </c>
      <c r="P31" s="106"/>
      <c r="Q31" s="109" t="s">
        <v>82</v>
      </c>
      <c r="R31" s="106"/>
      <c r="S31" s="110" t="s">
        <v>88</v>
      </c>
      <c r="T31" s="112"/>
      <c r="U31" s="52">
        <v>0</v>
      </c>
      <c r="V31" s="53">
        <v>0</v>
      </c>
      <c r="W31" s="54">
        <v>0</v>
      </c>
      <c r="X31" s="113">
        <v>33.001</v>
      </c>
      <c r="Y31" s="114"/>
      <c r="Z31" s="114"/>
      <c r="AA31" s="114"/>
      <c r="AB31" s="115"/>
      <c r="AC31" s="22"/>
    </row>
    <row r="32" spans="1:29" ht="24.95" customHeight="1">
      <c r="A32" s="23"/>
      <c r="B32" s="23"/>
      <c r="C32" s="23"/>
      <c r="D32" s="27"/>
      <c r="E32" s="27"/>
      <c r="F32" s="27"/>
      <c r="G32" s="30"/>
      <c r="H32" s="30"/>
      <c r="I32" s="30"/>
      <c r="J32" s="30"/>
      <c r="K32" s="27"/>
      <c r="L32" s="27"/>
      <c r="M32" s="27"/>
      <c r="N32" s="27"/>
      <c r="O32" s="105"/>
      <c r="P32" s="106"/>
      <c r="Q32" s="110"/>
      <c r="R32" s="111"/>
      <c r="S32" s="116" t="s">
        <v>81</v>
      </c>
      <c r="T32" s="117"/>
      <c r="U32" s="55">
        <v>140</v>
      </c>
      <c r="V32" s="56">
        <v>25</v>
      </c>
      <c r="W32" s="57">
        <v>35</v>
      </c>
      <c r="X32" s="120">
        <v>26.47</v>
      </c>
      <c r="Y32" s="121"/>
      <c r="Z32" s="121"/>
      <c r="AA32" s="121"/>
      <c r="AB32" s="122"/>
      <c r="AC32" s="22"/>
    </row>
    <row r="33" spans="1:29" ht="24.95" customHeight="1">
      <c r="A33" s="22"/>
      <c r="B33" s="22"/>
      <c r="C33" s="22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05"/>
      <c r="P33" s="106"/>
      <c r="Q33" s="103" t="s">
        <v>86</v>
      </c>
      <c r="R33" s="118"/>
      <c r="S33" s="116" t="s">
        <v>81</v>
      </c>
      <c r="T33" s="117"/>
      <c r="U33" s="55">
        <v>320</v>
      </c>
      <c r="V33" s="56">
        <v>25</v>
      </c>
      <c r="W33" s="57">
        <v>50</v>
      </c>
      <c r="X33" s="120">
        <v>26.47</v>
      </c>
      <c r="Y33" s="121"/>
      <c r="Z33" s="121"/>
      <c r="AA33" s="121"/>
      <c r="AB33" s="122"/>
      <c r="AC33" s="22"/>
    </row>
    <row r="34" spans="1:29" ht="24.95" customHeight="1" thickBot="1">
      <c r="A34" s="22"/>
      <c r="B34" s="22"/>
      <c r="C34" s="22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07"/>
      <c r="P34" s="108"/>
      <c r="Q34" s="119"/>
      <c r="R34" s="108"/>
      <c r="S34" s="123" t="s">
        <v>88</v>
      </c>
      <c r="T34" s="124"/>
      <c r="U34" s="49">
        <v>180</v>
      </c>
      <c r="V34" s="50">
        <v>0</v>
      </c>
      <c r="W34" s="51">
        <v>10</v>
      </c>
      <c r="X34" s="125">
        <v>33.001</v>
      </c>
      <c r="Y34" s="126"/>
      <c r="Z34" s="126"/>
      <c r="AA34" s="126"/>
      <c r="AB34" s="127"/>
      <c r="AC34" s="22"/>
    </row>
    <row r="35" spans="1:29" ht="24.95" customHeight="1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2"/>
    </row>
    <row r="36" spans="1:29" ht="24.95" customHeight="1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2"/>
    </row>
    <row r="37" spans="1:29" ht="24.95" customHeight="1">
      <c r="A37" s="22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2"/>
    </row>
    <row r="38" spans="1:29" ht="24.95" customHeight="1">
      <c r="A38" s="22"/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2"/>
    </row>
    <row r="39" spans="1:29" ht="30" customHeight="1">
      <c r="A39" s="22"/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2"/>
    </row>
    <row r="40" spans="1:29" ht="30" customHeight="1">
      <c r="A40" s="22"/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2"/>
    </row>
    <row r="41" spans="1:29" ht="30" customHeight="1">
      <c r="A41" s="22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2"/>
    </row>
    <row r="42" spans="1:29" ht="30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2"/>
    </row>
    <row r="43" spans="1:29" ht="30" customHeight="1">
      <c r="A43" s="22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2"/>
    </row>
    <row r="44" spans="1:29" ht="30" customHeight="1">
      <c r="A44" s="22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2"/>
    </row>
    <row r="45" spans="1:29" ht="30" customHeight="1">
      <c r="A45" s="22"/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2"/>
    </row>
  </sheetData>
  <mergeCells count="84">
    <mergeCell ref="A1:AC1"/>
    <mergeCell ref="A3:B9"/>
    <mergeCell ref="D3:E3"/>
    <mergeCell ref="S3:T3"/>
    <mergeCell ref="U3:V3"/>
    <mergeCell ref="W3:X3"/>
    <mergeCell ref="D4:E9"/>
    <mergeCell ref="F4:M9"/>
    <mergeCell ref="N4:O9"/>
    <mergeCell ref="P4:R5"/>
    <mergeCell ref="S4:V5"/>
    <mergeCell ref="W4:X9"/>
    <mergeCell ref="AC4:AC6"/>
    <mergeCell ref="P6:R7"/>
    <mergeCell ref="S6:V7"/>
    <mergeCell ref="AC7:AC9"/>
    <mergeCell ref="X18:AB18"/>
    <mergeCell ref="O19:P22"/>
    <mergeCell ref="Q19:R20"/>
    <mergeCell ref="S19:T19"/>
    <mergeCell ref="X19:AB19"/>
    <mergeCell ref="S20:T20"/>
    <mergeCell ref="X20:AB20"/>
    <mergeCell ref="Q21:R22"/>
    <mergeCell ref="S21:T21"/>
    <mergeCell ref="O15:P18"/>
    <mergeCell ref="Q15:R16"/>
    <mergeCell ref="S15:T15"/>
    <mergeCell ref="X15:AB15"/>
    <mergeCell ref="S16:T16"/>
    <mergeCell ref="X16:AB16"/>
    <mergeCell ref="Q17:R18"/>
    <mergeCell ref="X28:AB28"/>
    <mergeCell ref="X21:AB21"/>
    <mergeCell ref="S22:T22"/>
    <mergeCell ref="X22:AB22"/>
    <mergeCell ref="O23:P26"/>
    <mergeCell ref="Q23:R24"/>
    <mergeCell ref="S23:T23"/>
    <mergeCell ref="X23:AB23"/>
    <mergeCell ref="S24:T24"/>
    <mergeCell ref="X24:AB24"/>
    <mergeCell ref="Q25:R26"/>
    <mergeCell ref="S25:T25"/>
    <mergeCell ref="X25:AB25"/>
    <mergeCell ref="S26:T26"/>
    <mergeCell ref="X26:AB26"/>
    <mergeCell ref="O27:P30"/>
    <mergeCell ref="P8:R9"/>
    <mergeCell ref="S8:V9"/>
    <mergeCell ref="X14:AB14"/>
    <mergeCell ref="S17:T17"/>
    <mergeCell ref="X17:AB17"/>
    <mergeCell ref="O12:P12"/>
    <mergeCell ref="Q12:R12"/>
    <mergeCell ref="S12:T12"/>
    <mergeCell ref="U12:W12"/>
    <mergeCell ref="X12:AB12"/>
    <mergeCell ref="O13:P14"/>
    <mergeCell ref="Q13:R14"/>
    <mergeCell ref="S13:T13"/>
    <mergeCell ref="X13:AB13"/>
    <mergeCell ref="S14:T14"/>
    <mergeCell ref="Q29:R30"/>
    <mergeCell ref="S29:T29"/>
    <mergeCell ref="X29:AB29"/>
    <mergeCell ref="S30:T30"/>
    <mergeCell ref="X30:AB30"/>
    <mergeCell ref="S18:T18"/>
    <mergeCell ref="O31:P34"/>
    <mergeCell ref="Q31:R32"/>
    <mergeCell ref="S31:T31"/>
    <mergeCell ref="X31:AB31"/>
    <mergeCell ref="S32:T32"/>
    <mergeCell ref="Q33:R34"/>
    <mergeCell ref="S33:T33"/>
    <mergeCell ref="X33:AB33"/>
    <mergeCell ref="S34:T34"/>
    <mergeCell ref="X34:AB34"/>
    <mergeCell ref="Q27:R28"/>
    <mergeCell ref="S27:T27"/>
    <mergeCell ref="X27:AB27"/>
    <mergeCell ref="S28:T28"/>
    <mergeCell ref="X32:AB32"/>
  </mergeCells>
  <printOptions/>
  <pageMargins left="0.3937007874015748" right="0.3937007874015748" top="0.11811023622047245" bottom="0" header="0" footer="0"/>
  <pageSetup fitToWidth="0"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02"/>
  <sheetViews>
    <sheetView view="pageBreakPreview" zoomScaleSheetLayoutView="100" workbookViewId="0" topLeftCell="C1">
      <selection activeCell="H11" sqref="H11"/>
    </sheetView>
  </sheetViews>
  <sheetFormatPr defaultColWidth="9.00390625" defaultRowHeight="13.5"/>
  <cols>
    <col min="1" max="3" width="5.625" style="62" customWidth="1"/>
    <col min="4" max="5" width="4.50390625" style="62" customWidth="1"/>
    <col min="6" max="7" width="5.25390625" style="62" customWidth="1"/>
    <col min="8" max="8" width="8.625" style="62" customWidth="1"/>
    <col min="9" max="16" width="9.375" style="62" customWidth="1"/>
    <col min="17" max="19" width="5.625" style="62" customWidth="1"/>
    <col min="20" max="25" width="9.375" style="62" customWidth="1"/>
    <col min="26" max="27" width="6.125" style="62" customWidth="1"/>
    <col min="28" max="35" width="5.625" style="62" customWidth="1"/>
    <col min="36" max="36" width="28.75390625" style="62" customWidth="1"/>
    <col min="37" max="40" width="5.625" style="62" customWidth="1"/>
    <col min="41" max="46" width="5.625" style="5" customWidth="1"/>
    <col min="47" max="86" width="5.625" style="62" customWidth="1"/>
    <col min="87" max="16384" width="9.00390625" style="62" customWidth="1"/>
  </cols>
  <sheetData>
    <row r="1" spans="1:46" s="22" customFormat="1" ht="32.1" customHeight="1">
      <c r="A1" s="437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21"/>
      <c r="AR1" s="21"/>
      <c r="AS1" s="21"/>
      <c r="AT1" s="21"/>
    </row>
    <row r="2" spans="2:46" s="22" customFormat="1" ht="12" customHeight="1" thickBo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2:43" s="22" customFormat="1" ht="24.95" customHeight="1" thickBot="1">
      <c r="B3" s="438" t="s">
        <v>76</v>
      </c>
      <c r="C3" s="439"/>
      <c r="D3" s="440"/>
      <c r="E3" s="441"/>
      <c r="F3" s="31"/>
      <c r="G3" s="448" t="s">
        <v>67</v>
      </c>
      <c r="H3" s="449"/>
      <c r="I3" s="449" t="s">
        <v>111</v>
      </c>
      <c r="J3" s="449"/>
      <c r="K3" s="449"/>
      <c r="L3" s="449"/>
      <c r="M3" s="449"/>
      <c r="N3" s="449"/>
      <c r="O3" s="449"/>
      <c r="P3" s="449"/>
      <c r="Q3" s="450" t="s">
        <v>70</v>
      </c>
      <c r="R3" s="449"/>
      <c r="S3" s="449"/>
      <c r="T3" s="58"/>
      <c r="U3" s="450" t="s">
        <v>69</v>
      </c>
      <c r="V3" s="449"/>
      <c r="W3" s="449"/>
      <c r="X3" s="171"/>
      <c r="Y3" s="451"/>
      <c r="AA3" s="20"/>
      <c r="AB3" s="448" t="s">
        <v>72</v>
      </c>
      <c r="AC3" s="449"/>
      <c r="AD3" s="449"/>
      <c r="AE3" s="449" t="s">
        <v>74</v>
      </c>
      <c r="AF3" s="449"/>
      <c r="AG3" s="449"/>
      <c r="AH3" s="449"/>
      <c r="AI3" s="449"/>
      <c r="AJ3" s="449"/>
      <c r="AK3" s="449"/>
      <c r="AL3" s="449"/>
      <c r="AM3" s="452"/>
      <c r="AN3" s="29"/>
      <c r="AO3" s="453" t="s">
        <v>75</v>
      </c>
      <c r="AP3" s="454"/>
      <c r="AQ3" s="29"/>
    </row>
    <row r="4" spans="2:43" s="22" customFormat="1" ht="24.95" customHeight="1" thickBot="1">
      <c r="B4" s="442"/>
      <c r="C4" s="443"/>
      <c r="D4" s="443"/>
      <c r="E4" s="444"/>
      <c r="F4" s="31"/>
      <c r="G4" s="420" t="s">
        <v>68</v>
      </c>
      <c r="H4" s="421"/>
      <c r="I4" s="424"/>
      <c r="J4" s="424"/>
      <c r="K4" s="424"/>
      <c r="L4" s="424"/>
      <c r="M4" s="424"/>
      <c r="N4" s="424"/>
      <c r="O4" s="424"/>
      <c r="P4" s="424"/>
      <c r="Q4" s="426" t="s">
        <v>71</v>
      </c>
      <c r="R4" s="427"/>
      <c r="S4" s="427"/>
      <c r="T4" s="430"/>
      <c r="U4" s="430"/>
      <c r="V4" s="430"/>
      <c r="W4" s="430"/>
      <c r="X4" s="430"/>
      <c r="Y4" s="431"/>
      <c r="AA4" s="20"/>
      <c r="AB4" s="434" t="s">
        <v>73</v>
      </c>
      <c r="AC4" s="435"/>
      <c r="AD4" s="435"/>
      <c r="AE4" s="170"/>
      <c r="AF4" s="170"/>
      <c r="AG4" s="170"/>
      <c r="AH4" s="170"/>
      <c r="AI4" s="170"/>
      <c r="AJ4" s="170"/>
      <c r="AK4" s="170"/>
      <c r="AL4" s="170"/>
      <c r="AM4" s="436"/>
      <c r="AN4" s="42"/>
      <c r="AO4" s="411"/>
      <c r="AP4" s="412"/>
      <c r="AQ4" s="42"/>
    </row>
    <row r="5" spans="2:43" s="22" customFormat="1" ht="24.95" customHeight="1" thickBot="1">
      <c r="B5" s="445"/>
      <c r="C5" s="446"/>
      <c r="D5" s="446"/>
      <c r="E5" s="447"/>
      <c r="G5" s="422"/>
      <c r="H5" s="423"/>
      <c r="I5" s="425"/>
      <c r="J5" s="425"/>
      <c r="K5" s="425"/>
      <c r="L5" s="425"/>
      <c r="M5" s="425"/>
      <c r="N5" s="425"/>
      <c r="O5" s="425"/>
      <c r="P5" s="425"/>
      <c r="Q5" s="428"/>
      <c r="R5" s="429"/>
      <c r="S5" s="429"/>
      <c r="T5" s="432"/>
      <c r="U5" s="432"/>
      <c r="V5" s="432"/>
      <c r="W5" s="432"/>
      <c r="X5" s="432"/>
      <c r="Y5" s="433"/>
      <c r="AA5" s="20"/>
      <c r="AB5" s="422"/>
      <c r="AC5" s="423"/>
      <c r="AD5" s="423"/>
      <c r="AE5" s="170"/>
      <c r="AF5" s="170"/>
      <c r="AG5" s="170"/>
      <c r="AH5" s="170"/>
      <c r="AI5" s="170"/>
      <c r="AJ5" s="170"/>
      <c r="AK5" s="170"/>
      <c r="AL5" s="170"/>
      <c r="AM5" s="436"/>
      <c r="AN5" s="42"/>
      <c r="AO5" s="411"/>
      <c r="AP5" s="412"/>
      <c r="AQ5" s="42"/>
    </row>
    <row r="6" spans="2:39" s="3" customFormat="1" ht="32.1" customHeight="1" thickBot="1">
      <c r="B6" s="2" t="s">
        <v>4</v>
      </c>
      <c r="AB6" s="2" t="s">
        <v>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2"/>
    </row>
    <row r="7" spans="2:42" s="59" customFormat="1" ht="30" customHeight="1" thickBot="1">
      <c r="B7" s="413" t="s">
        <v>2</v>
      </c>
      <c r="C7" s="414"/>
      <c r="D7" s="414" t="s">
        <v>6</v>
      </c>
      <c r="E7" s="414"/>
      <c r="F7" s="415" t="s">
        <v>7</v>
      </c>
      <c r="G7" s="416"/>
      <c r="H7" s="415" t="s">
        <v>8</v>
      </c>
      <c r="I7" s="417"/>
      <c r="J7" s="416"/>
      <c r="K7" s="414" t="s">
        <v>9</v>
      </c>
      <c r="L7" s="414"/>
      <c r="M7" s="414"/>
      <c r="N7" s="414" t="s">
        <v>10</v>
      </c>
      <c r="O7" s="414"/>
      <c r="P7" s="414"/>
      <c r="Q7" s="414" t="s">
        <v>1</v>
      </c>
      <c r="R7" s="414"/>
      <c r="S7" s="414"/>
      <c r="T7" s="416" t="s">
        <v>11</v>
      </c>
      <c r="U7" s="414"/>
      <c r="V7" s="415"/>
      <c r="W7" s="244" t="s">
        <v>0</v>
      </c>
      <c r="X7" s="418"/>
      <c r="Y7" s="419"/>
      <c r="Z7" s="11"/>
      <c r="AB7" s="287" t="s">
        <v>21</v>
      </c>
      <c r="AC7" s="288"/>
      <c r="AD7" s="396" t="s">
        <v>12</v>
      </c>
      <c r="AE7" s="397"/>
      <c r="AF7" s="397"/>
      <c r="AG7" s="398"/>
      <c r="AH7" s="288"/>
      <c r="AI7" s="397" t="s">
        <v>22</v>
      </c>
      <c r="AJ7" s="397"/>
      <c r="AK7" s="397"/>
      <c r="AL7" s="398"/>
      <c r="AM7" s="402"/>
      <c r="AN7" s="1"/>
      <c r="AO7" s="1"/>
      <c r="AP7" s="1"/>
    </row>
    <row r="8" spans="2:42" s="59" customFormat="1" ht="30" customHeight="1" thickTop="1">
      <c r="B8" s="405" t="s">
        <v>18</v>
      </c>
      <c r="C8" s="406"/>
      <c r="D8" s="406" t="s">
        <v>13</v>
      </c>
      <c r="E8" s="406"/>
      <c r="F8" s="407" t="s">
        <v>14</v>
      </c>
      <c r="G8" s="240"/>
      <c r="H8" s="90">
        <f>'野帳'!U13</f>
        <v>0</v>
      </c>
      <c r="I8" s="85">
        <f>'野帳'!V13</f>
        <v>0</v>
      </c>
      <c r="J8" s="80">
        <f>'野帳'!W13</f>
        <v>0</v>
      </c>
      <c r="K8" s="408">
        <f>INT(K46/3600)</f>
        <v>334</v>
      </c>
      <c r="L8" s="409">
        <f>INT((K46-K8*3600)/60)</f>
        <v>19</v>
      </c>
      <c r="M8" s="410">
        <f>ROUND(K46-K8*3600-L8*60,0)</f>
        <v>50</v>
      </c>
      <c r="N8" s="387" t="s">
        <v>20</v>
      </c>
      <c r="O8" s="388"/>
      <c r="P8" s="386"/>
      <c r="Q8" s="387" t="s">
        <v>20</v>
      </c>
      <c r="R8" s="388"/>
      <c r="S8" s="386"/>
      <c r="T8" s="387" t="s">
        <v>20</v>
      </c>
      <c r="U8" s="388"/>
      <c r="V8" s="388"/>
      <c r="W8" s="387" t="s">
        <v>20</v>
      </c>
      <c r="X8" s="391"/>
      <c r="Y8" s="392"/>
      <c r="Z8" s="9"/>
      <c r="AB8" s="274"/>
      <c r="AC8" s="275"/>
      <c r="AD8" s="399"/>
      <c r="AE8" s="400"/>
      <c r="AF8" s="400"/>
      <c r="AG8" s="400"/>
      <c r="AH8" s="275"/>
      <c r="AI8" s="400"/>
      <c r="AJ8" s="400"/>
      <c r="AK8" s="400"/>
      <c r="AL8" s="400"/>
      <c r="AM8" s="403"/>
      <c r="AN8" s="1"/>
      <c r="AO8" s="1"/>
      <c r="AP8" s="1"/>
    </row>
    <row r="9" spans="2:42" s="59" customFormat="1" ht="30" customHeight="1" thickBot="1">
      <c r="B9" s="378"/>
      <c r="C9" s="369"/>
      <c r="D9" s="369"/>
      <c r="E9" s="369"/>
      <c r="F9" s="373" t="s">
        <v>19</v>
      </c>
      <c r="G9" s="374"/>
      <c r="H9" s="91">
        <f>'野帳'!U14</f>
        <v>334</v>
      </c>
      <c r="I9" s="86">
        <f>'野帳'!V14</f>
        <v>19</v>
      </c>
      <c r="J9" s="81">
        <f>'野帳'!W14</f>
        <v>50</v>
      </c>
      <c r="K9" s="342"/>
      <c r="L9" s="345"/>
      <c r="M9" s="339"/>
      <c r="N9" s="389"/>
      <c r="O9" s="390"/>
      <c r="P9" s="207"/>
      <c r="Q9" s="389"/>
      <c r="R9" s="390"/>
      <c r="S9" s="207"/>
      <c r="T9" s="389"/>
      <c r="U9" s="390"/>
      <c r="V9" s="390"/>
      <c r="W9" s="393"/>
      <c r="X9" s="394"/>
      <c r="Y9" s="395"/>
      <c r="Z9" s="9"/>
      <c r="AB9" s="274"/>
      <c r="AC9" s="275"/>
      <c r="AD9" s="245"/>
      <c r="AE9" s="401"/>
      <c r="AF9" s="401"/>
      <c r="AG9" s="401"/>
      <c r="AH9" s="347"/>
      <c r="AI9" s="401"/>
      <c r="AJ9" s="401"/>
      <c r="AK9" s="401"/>
      <c r="AL9" s="401"/>
      <c r="AM9" s="404"/>
      <c r="AN9" s="1"/>
      <c r="AO9" s="1"/>
      <c r="AP9" s="1"/>
    </row>
    <row r="10" spans="2:42" s="59" customFormat="1" ht="30" customHeight="1" thickTop="1">
      <c r="B10" s="357" t="s">
        <v>18</v>
      </c>
      <c r="C10" s="358"/>
      <c r="D10" s="358" t="s">
        <v>13</v>
      </c>
      <c r="E10" s="358"/>
      <c r="F10" s="361" t="s">
        <v>17</v>
      </c>
      <c r="G10" s="362"/>
      <c r="H10" s="92">
        <f>'野帳'!U15</f>
        <v>0</v>
      </c>
      <c r="I10" s="87">
        <f>'野帳'!V15</f>
        <v>0</v>
      </c>
      <c r="J10" s="82">
        <f>'野帳'!W15</f>
        <v>0</v>
      </c>
      <c r="K10" s="340">
        <f>INT(K48/3600)</f>
        <v>90</v>
      </c>
      <c r="L10" s="343">
        <f>INT((K48-K10*3600)/60)</f>
        <v>5</v>
      </c>
      <c r="M10" s="337">
        <f>ROUND(K48-K10*3600-L10*60,0)</f>
        <v>0</v>
      </c>
      <c r="N10" s="340">
        <f>INT(N48/3600)</f>
        <v>90</v>
      </c>
      <c r="O10" s="343">
        <f>INT((N48-N10*3600)/60)</f>
        <v>5</v>
      </c>
      <c r="P10" s="337">
        <f>ROUND(N48-N10*3600-O10*60,0)</f>
        <v>8</v>
      </c>
      <c r="Q10" s="348">
        <f>S48</f>
        <v>0</v>
      </c>
      <c r="R10" s="349"/>
      <c r="S10" s="350"/>
      <c r="T10" s="340">
        <f>INT(T48/3600)</f>
        <v>90</v>
      </c>
      <c r="U10" s="343">
        <f>INT((T48-T10*3600)/60)</f>
        <v>5</v>
      </c>
      <c r="V10" s="337">
        <f>ROUND(T48-T10*3600-U10*60,0)</f>
        <v>8</v>
      </c>
      <c r="W10" s="340">
        <f>INT(W48/3600)</f>
        <v>334</v>
      </c>
      <c r="X10" s="343">
        <f>INT((W48-W10*3600)/60)</f>
        <v>19</v>
      </c>
      <c r="Y10" s="337">
        <f>ROUND(W48-W10*3600-X10*60,0)</f>
        <v>50</v>
      </c>
      <c r="Z10" s="12"/>
      <c r="AB10" s="385" t="s">
        <v>23</v>
      </c>
      <c r="AC10" s="386"/>
      <c r="AD10" s="370">
        <f>IF('野帳'!X16="","",'野帳'!X16)</f>
        <v>32.581</v>
      </c>
      <c r="AE10" s="371"/>
      <c r="AF10" s="371"/>
      <c r="AG10" s="371" t="e">
        <v>#REF!</v>
      </c>
      <c r="AH10" s="372" t="e">
        <v>#REF!</v>
      </c>
      <c r="AI10" s="382">
        <f>ROUND(AVERAGE(AD10:AD13),3)</f>
        <v>32.582</v>
      </c>
      <c r="AJ10" s="383"/>
      <c r="AK10" s="383"/>
      <c r="AL10" s="383"/>
      <c r="AM10" s="384"/>
      <c r="AN10" s="1"/>
      <c r="AO10" s="1"/>
      <c r="AP10" s="1"/>
    </row>
    <row r="11" spans="2:42" s="59" customFormat="1" ht="30" customHeight="1">
      <c r="B11" s="359"/>
      <c r="C11" s="328"/>
      <c r="D11" s="328"/>
      <c r="E11" s="328"/>
      <c r="F11" s="324" t="s">
        <v>19</v>
      </c>
      <c r="G11" s="235"/>
      <c r="H11" s="93">
        <f>'野帳'!U16</f>
        <v>90</v>
      </c>
      <c r="I11" s="88">
        <f>'野帳'!V16</f>
        <v>5</v>
      </c>
      <c r="J11" s="83">
        <f>'野帳'!W16</f>
        <v>0</v>
      </c>
      <c r="K11" s="363"/>
      <c r="L11" s="364"/>
      <c r="M11" s="365"/>
      <c r="N11" s="341"/>
      <c r="O11" s="344"/>
      <c r="P11" s="338"/>
      <c r="Q11" s="351"/>
      <c r="R11" s="352"/>
      <c r="S11" s="353"/>
      <c r="T11" s="341"/>
      <c r="U11" s="344"/>
      <c r="V11" s="338"/>
      <c r="W11" s="341"/>
      <c r="X11" s="344"/>
      <c r="Y11" s="338"/>
      <c r="Z11" s="97"/>
      <c r="AB11" s="274"/>
      <c r="AC11" s="275"/>
      <c r="AD11" s="370">
        <f>IF('野帳'!X17="","",'野帳'!X17)</f>
        <v>32.581</v>
      </c>
      <c r="AE11" s="371"/>
      <c r="AF11" s="371"/>
      <c r="AG11" s="371" t="e">
        <v>#REF!</v>
      </c>
      <c r="AH11" s="372" t="e">
        <v>#REF!</v>
      </c>
      <c r="AI11" s="318"/>
      <c r="AJ11" s="319"/>
      <c r="AK11" s="319"/>
      <c r="AL11" s="319"/>
      <c r="AM11" s="320"/>
      <c r="AN11" s="1"/>
      <c r="AO11" s="1"/>
      <c r="AP11" s="1"/>
    </row>
    <row r="12" spans="2:42" s="59" customFormat="1" ht="30" customHeight="1">
      <c r="B12" s="359"/>
      <c r="C12" s="328"/>
      <c r="D12" s="328" t="s">
        <v>28</v>
      </c>
      <c r="E12" s="328"/>
      <c r="F12" s="324" t="s">
        <v>19</v>
      </c>
      <c r="G12" s="235"/>
      <c r="H12" s="93">
        <f>'野帳'!U17</f>
        <v>270</v>
      </c>
      <c r="I12" s="88">
        <f>'野帳'!V17</f>
        <v>5</v>
      </c>
      <c r="J12" s="83">
        <f>'野帳'!W17</f>
        <v>15</v>
      </c>
      <c r="K12" s="330">
        <f aca="true" t="shared" si="0" ref="K12">INT(K50/3600)</f>
        <v>90</v>
      </c>
      <c r="L12" s="332">
        <f>INT((K50-K12*3600)/60)</f>
        <v>5</v>
      </c>
      <c r="M12" s="334">
        <f>ROUND(K50-K12*3600-L12*60,0)</f>
        <v>15</v>
      </c>
      <c r="N12" s="341"/>
      <c r="O12" s="344"/>
      <c r="P12" s="338"/>
      <c r="Q12" s="351"/>
      <c r="R12" s="352"/>
      <c r="S12" s="353"/>
      <c r="T12" s="341"/>
      <c r="U12" s="344"/>
      <c r="V12" s="338"/>
      <c r="W12" s="341"/>
      <c r="X12" s="344"/>
      <c r="Y12" s="338"/>
      <c r="Z12" s="97"/>
      <c r="AB12" s="274"/>
      <c r="AC12" s="275"/>
      <c r="AD12" s="370">
        <f>IF('野帳'!X19="","",'野帳'!X19)</f>
        <v>32.583</v>
      </c>
      <c r="AE12" s="371"/>
      <c r="AF12" s="371"/>
      <c r="AG12" s="371" t="e">
        <v>#REF!</v>
      </c>
      <c r="AH12" s="372" t="e">
        <v>#REF!</v>
      </c>
      <c r="AI12" s="318"/>
      <c r="AJ12" s="319"/>
      <c r="AK12" s="319"/>
      <c r="AL12" s="319"/>
      <c r="AM12" s="320"/>
      <c r="AN12" s="1"/>
      <c r="AO12" s="1"/>
      <c r="AP12" s="1"/>
    </row>
    <row r="13" spans="2:42" s="59" customFormat="1" ht="30" customHeight="1" thickBot="1">
      <c r="B13" s="308"/>
      <c r="C13" s="309"/>
      <c r="D13" s="309"/>
      <c r="E13" s="309"/>
      <c r="F13" s="373" t="s">
        <v>17</v>
      </c>
      <c r="G13" s="374"/>
      <c r="H13" s="91">
        <f>'野帳'!U18</f>
        <v>180</v>
      </c>
      <c r="I13" s="86">
        <f>'野帳'!V18</f>
        <v>0</v>
      </c>
      <c r="J13" s="81">
        <f>'野帳'!W18</f>
        <v>0</v>
      </c>
      <c r="K13" s="342"/>
      <c r="L13" s="345"/>
      <c r="M13" s="339"/>
      <c r="N13" s="342"/>
      <c r="O13" s="345"/>
      <c r="P13" s="339"/>
      <c r="Q13" s="354"/>
      <c r="R13" s="355"/>
      <c r="S13" s="356"/>
      <c r="T13" s="342"/>
      <c r="U13" s="345"/>
      <c r="V13" s="339"/>
      <c r="W13" s="342"/>
      <c r="X13" s="345"/>
      <c r="Y13" s="339"/>
      <c r="Z13" s="12"/>
      <c r="AB13" s="274"/>
      <c r="AC13" s="275"/>
      <c r="AD13" s="370">
        <f>IF('野帳'!X22="","",'野帳'!X22)</f>
        <v>32.582</v>
      </c>
      <c r="AE13" s="371"/>
      <c r="AF13" s="371"/>
      <c r="AG13" s="371" t="e">
        <v>#REF!</v>
      </c>
      <c r="AH13" s="372" t="e">
        <v>#REF!</v>
      </c>
      <c r="AI13" s="366"/>
      <c r="AJ13" s="367"/>
      <c r="AK13" s="367"/>
      <c r="AL13" s="367"/>
      <c r="AM13" s="368"/>
      <c r="AN13" s="1"/>
      <c r="AO13" s="1"/>
      <c r="AP13" s="1"/>
    </row>
    <row r="14" spans="2:42" s="59" customFormat="1" ht="30" customHeight="1">
      <c r="B14" s="306" t="s">
        <v>19</v>
      </c>
      <c r="C14" s="307"/>
      <c r="D14" s="307" t="s">
        <v>13</v>
      </c>
      <c r="E14" s="307"/>
      <c r="F14" s="361" t="s">
        <v>18</v>
      </c>
      <c r="G14" s="362"/>
      <c r="H14" s="92">
        <f>'野帳'!U19</f>
        <v>0</v>
      </c>
      <c r="I14" s="87">
        <f>'野帳'!V19</f>
        <v>0</v>
      </c>
      <c r="J14" s="82">
        <f>'野帳'!W19</f>
        <v>0</v>
      </c>
      <c r="K14" s="340">
        <f aca="true" t="shared" si="1" ref="K14">INT(K52/3600)</f>
        <v>111</v>
      </c>
      <c r="L14" s="343">
        <f>INT((K52-K14*3600)/60)</f>
        <v>55</v>
      </c>
      <c r="M14" s="337">
        <f>ROUND(K52-K14*3600-L14*60,0)</f>
        <v>45</v>
      </c>
      <c r="N14" s="340">
        <f aca="true" t="shared" si="2" ref="N14">INT(N52/3600)</f>
        <v>111</v>
      </c>
      <c r="O14" s="343">
        <f>INT((N52-N14*3600)/60)</f>
        <v>55</v>
      </c>
      <c r="P14" s="337">
        <f>ROUND(N52-N14*3600-O14*60,0)</f>
        <v>43</v>
      </c>
      <c r="Q14" s="348">
        <f aca="true" t="shared" si="3" ref="Q14">S52</f>
        <v>1</v>
      </c>
      <c r="R14" s="349"/>
      <c r="S14" s="350"/>
      <c r="T14" s="340">
        <f aca="true" t="shared" si="4" ref="T14">INT(T52/3600)</f>
        <v>111</v>
      </c>
      <c r="U14" s="343">
        <f>INT((T52-T14*3600)/60)</f>
        <v>55</v>
      </c>
      <c r="V14" s="337">
        <f>ROUND(T52-T14*3600-U14*60,0)</f>
        <v>44</v>
      </c>
      <c r="W14" s="340">
        <f>INT(W52/3600)</f>
        <v>266</v>
      </c>
      <c r="X14" s="343">
        <f>INT((W52-W14*3600)/60)</f>
        <v>15</v>
      </c>
      <c r="Y14" s="337">
        <f>ROUND(W52-W14*3600-X14*60,0)</f>
        <v>34</v>
      </c>
      <c r="Z14" s="12"/>
      <c r="AB14" s="287" t="s">
        <v>24</v>
      </c>
      <c r="AC14" s="288"/>
      <c r="AD14" s="379">
        <f>IF('野帳'!X20="","",'野帳'!X20)</f>
        <v>38.972</v>
      </c>
      <c r="AE14" s="380"/>
      <c r="AF14" s="380"/>
      <c r="AG14" s="380" t="e">
        <v>#REF!</v>
      </c>
      <c r="AH14" s="381" t="e">
        <v>#REF!</v>
      </c>
      <c r="AI14" s="315">
        <f aca="true" t="shared" si="5" ref="AI14">ROUND(AVERAGE(AD14:AD17),3)</f>
        <v>38.972</v>
      </c>
      <c r="AJ14" s="316"/>
      <c r="AK14" s="316"/>
      <c r="AL14" s="316"/>
      <c r="AM14" s="317"/>
      <c r="AN14" s="1"/>
      <c r="AO14" s="1"/>
      <c r="AP14" s="1"/>
    </row>
    <row r="15" spans="2:42" s="59" customFormat="1" ht="30" customHeight="1">
      <c r="B15" s="359"/>
      <c r="C15" s="328"/>
      <c r="D15" s="328"/>
      <c r="E15" s="328"/>
      <c r="F15" s="324" t="s">
        <v>15</v>
      </c>
      <c r="G15" s="235"/>
      <c r="H15" s="93">
        <f>'野帳'!U20</f>
        <v>111</v>
      </c>
      <c r="I15" s="88">
        <f>'野帳'!V20</f>
        <v>55</v>
      </c>
      <c r="J15" s="83">
        <f>'野帳'!W20</f>
        <v>45</v>
      </c>
      <c r="K15" s="363"/>
      <c r="L15" s="364"/>
      <c r="M15" s="365"/>
      <c r="N15" s="341"/>
      <c r="O15" s="344"/>
      <c r="P15" s="338"/>
      <c r="Q15" s="351"/>
      <c r="R15" s="352"/>
      <c r="S15" s="353"/>
      <c r="T15" s="341"/>
      <c r="U15" s="344"/>
      <c r="V15" s="338"/>
      <c r="W15" s="341"/>
      <c r="X15" s="344"/>
      <c r="Y15" s="338"/>
      <c r="Z15" s="97"/>
      <c r="AB15" s="274"/>
      <c r="AC15" s="275"/>
      <c r="AD15" s="325">
        <f>IF('野帳'!X21="","",'野帳'!X21)</f>
        <v>38.972</v>
      </c>
      <c r="AE15" s="326"/>
      <c r="AF15" s="326"/>
      <c r="AG15" s="326" t="e">
        <v>#REF!</v>
      </c>
      <c r="AH15" s="327" t="e">
        <v>#REF!</v>
      </c>
      <c r="AI15" s="318"/>
      <c r="AJ15" s="319"/>
      <c r="AK15" s="319"/>
      <c r="AL15" s="319"/>
      <c r="AM15" s="320"/>
      <c r="AN15" s="1"/>
      <c r="AO15" s="1"/>
      <c r="AP15" s="1"/>
    </row>
    <row r="16" spans="2:42" s="59" customFormat="1" ht="30" customHeight="1">
      <c r="B16" s="359"/>
      <c r="C16" s="328"/>
      <c r="D16" s="328" t="s">
        <v>28</v>
      </c>
      <c r="E16" s="328"/>
      <c r="F16" s="324" t="s">
        <v>15</v>
      </c>
      <c r="G16" s="235"/>
      <c r="H16" s="93">
        <f>'野帳'!U21</f>
        <v>291</v>
      </c>
      <c r="I16" s="88">
        <f>'野帳'!V21</f>
        <v>55</v>
      </c>
      <c r="J16" s="83">
        <f>'野帳'!W21</f>
        <v>30</v>
      </c>
      <c r="K16" s="330">
        <f aca="true" t="shared" si="6" ref="K16">INT(K54/3600)</f>
        <v>111</v>
      </c>
      <c r="L16" s="332">
        <f>INT((K54-K16*3600)/60)</f>
        <v>55</v>
      </c>
      <c r="M16" s="334">
        <f>ROUND(K54-K16*3600-L16*60,0)</f>
        <v>40</v>
      </c>
      <c r="N16" s="341"/>
      <c r="O16" s="344"/>
      <c r="P16" s="338"/>
      <c r="Q16" s="351"/>
      <c r="R16" s="352"/>
      <c r="S16" s="353"/>
      <c r="T16" s="341"/>
      <c r="U16" s="344"/>
      <c r="V16" s="338"/>
      <c r="W16" s="341"/>
      <c r="X16" s="344"/>
      <c r="Y16" s="338"/>
      <c r="Z16" s="97"/>
      <c r="AB16" s="274"/>
      <c r="AC16" s="275"/>
      <c r="AD16" s="325">
        <f>IF('野帳'!X23="","",'野帳'!X23)</f>
        <v>38.972</v>
      </c>
      <c r="AE16" s="326"/>
      <c r="AF16" s="326"/>
      <c r="AG16" s="326" t="e">
        <v>#REF!</v>
      </c>
      <c r="AH16" s="327" t="e">
        <v>#REF!</v>
      </c>
      <c r="AI16" s="318"/>
      <c r="AJ16" s="319"/>
      <c r="AK16" s="319"/>
      <c r="AL16" s="319"/>
      <c r="AM16" s="320"/>
      <c r="AN16" s="1"/>
      <c r="AO16" s="1"/>
      <c r="AP16" s="1"/>
    </row>
    <row r="17" spans="2:42" s="59" customFormat="1" ht="30" customHeight="1" thickBot="1">
      <c r="B17" s="378"/>
      <c r="C17" s="369"/>
      <c r="D17" s="369"/>
      <c r="E17" s="369"/>
      <c r="F17" s="373" t="s">
        <v>18</v>
      </c>
      <c r="G17" s="374"/>
      <c r="H17" s="91">
        <f>'野帳'!U22</f>
        <v>179</v>
      </c>
      <c r="I17" s="86">
        <f>'野帳'!V22</f>
        <v>59</v>
      </c>
      <c r="J17" s="81">
        <f>'野帳'!W22</f>
        <v>50</v>
      </c>
      <c r="K17" s="342"/>
      <c r="L17" s="345"/>
      <c r="M17" s="339"/>
      <c r="N17" s="342"/>
      <c r="O17" s="345"/>
      <c r="P17" s="339"/>
      <c r="Q17" s="354"/>
      <c r="R17" s="355"/>
      <c r="S17" s="356"/>
      <c r="T17" s="342"/>
      <c r="U17" s="345"/>
      <c r="V17" s="339"/>
      <c r="W17" s="342"/>
      <c r="X17" s="345"/>
      <c r="Y17" s="339"/>
      <c r="Z17" s="12"/>
      <c r="AB17" s="206"/>
      <c r="AC17" s="207"/>
      <c r="AD17" s="375">
        <f>IF('野帳'!X26="","",'野帳'!X26)</f>
        <v>38.971</v>
      </c>
      <c r="AE17" s="376"/>
      <c r="AF17" s="376"/>
      <c r="AG17" s="376" t="e">
        <v>#REF!</v>
      </c>
      <c r="AH17" s="377" t="e">
        <v>#REF!</v>
      </c>
      <c r="AI17" s="366"/>
      <c r="AJ17" s="367"/>
      <c r="AK17" s="367"/>
      <c r="AL17" s="367"/>
      <c r="AM17" s="368"/>
      <c r="AN17" s="1"/>
      <c r="AO17" s="1"/>
      <c r="AP17" s="1"/>
    </row>
    <row r="18" spans="2:42" s="59" customFormat="1" ht="30" customHeight="1">
      <c r="B18" s="357" t="s">
        <v>15</v>
      </c>
      <c r="C18" s="358"/>
      <c r="D18" s="358" t="s">
        <v>13</v>
      </c>
      <c r="E18" s="358"/>
      <c r="F18" s="361" t="s">
        <v>19</v>
      </c>
      <c r="G18" s="362"/>
      <c r="H18" s="92">
        <f>'野帳'!U23</f>
        <v>0</v>
      </c>
      <c r="I18" s="87">
        <f>'野帳'!V23</f>
        <v>0</v>
      </c>
      <c r="J18" s="82">
        <f>'野帳'!W23</f>
        <v>0</v>
      </c>
      <c r="K18" s="340">
        <f aca="true" t="shared" si="7" ref="K18">INT(K56/3600)</f>
        <v>99</v>
      </c>
      <c r="L18" s="343">
        <f>INT((K56-K18*3600)/60)</f>
        <v>8</v>
      </c>
      <c r="M18" s="337">
        <f>ROUND(K56-K18*3600-L18*60,0)</f>
        <v>55</v>
      </c>
      <c r="N18" s="340">
        <f aca="true" t="shared" si="8" ref="N18">INT(N56/3600)</f>
        <v>99</v>
      </c>
      <c r="O18" s="343">
        <f>INT((N56-N18*3600)/60)</f>
        <v>8</v>
      </c>
      <c r="P18" s="337">
        <f>ROUND(N56-N18*3600-O18*60,0)</f>
        <v>53</v>
      </c>
      <c r="Q18" s="348">
        <f aca="true" t="shared" si="9" ref="Q18">S56</f>
        <v>1</v>
      </c>
      <c r="R18" s="349"/>
      <c r="S18" s="350"/>
      <c r="T18" s="340">
        <f aca="true" t="shared" si="10" ref="T18">INT(T56/3600)</f>
        <v>99</v>
      </c>
      <c r="U18" s="343">
        <f>INT((T56-T18*3600)/60)</f>
        <v>8</v>
      </c>
      <c r="V18" s="337">
        <f>ROUND(T56-T18*3600-U18*60,0)</f>
        <v>54</v>
      </c>
      <c r="W18" s="340">
        <f>INT(W56/3600)</f>
        <v>185</v>
      </c>
      <c r="X18" s="343">
        <f>INT((W56-W18*3600)/60)</f>
        <v>24</v>
      </c>
      <c r="Y18" s="337">
        <f>ROUND(W56-W18*3600-X18*60,0)</f>
        <v>28</v>
      </c>
      <c r="Z18" s="12"/>
      <c r="AB18" s="274" t="s">
        <v>25</v>
      </c>
      <c r="AC18" s="275"/>
      <c r="AD18" s="325">
        <f>IF('野帳'!X24="","",'野帳'!X24)</f>
        <v>30.58</v>
      </c>
      <c r="AE18" s="326"/>
      <c r="AF18" s="326"/>
      <c r="AG18" s="326" t="e">
        <v>#REF!</v>
      </c>
      <c r="AH18" s="327" t="e">
        <v>#REF!</v>
      </c>
      <c r="AI18" s="315">
        <f aca="true" t="shared" si="11" ref="AI18">ROUND(AVERAGE(AD18:AD21),3)</f>
        <v>30.581</v>
      </c>
      <c r="AJ18" s="316"/>
      <c r="AK18" s="316"/>
      <c r="AL18" s="316"/>
      <c r="AM18" s="317"/>
      <c r="AN18" s="1"/>
      <c r="AO18" s="1"/>
      <c r="AP18" s="1"/>
    </row>
    <row r="19" spans="2:42" s="59" customFormat="1" ht="30" customHeight="1">
      <c r="B19" s="359"/>
      <c r="C19" s="328"/>
      <c r="D19" s="328"/>
      <c r="E19" s="328"/>
      <c r="F19" s="324" t="s">
        <v>16</v>
      </c>
      <c r="G19" s="235"/>
      <c r="H19" s="93">
        <f>'野帳'!U24</f>
        <v>99</v>
      </c>
      <c r="I19" s="88">
        <f>'野帳'!V24</f>
        <v>8</v>
      </c>
      <c r="J19" s="83">
        <f>'野帳'!W24</f>
        <v>55</v>
      </c>
      <c r="K19" s="363"/>
      <c r="L19" s="364"/>
      <c r="M19" s="365"/>
      <c r="N19" s="341"/>
      <c r="O19" s="344"/>
      <c r="P19" s="338"/>
      <c r="Q19" s="351"/>
      <c r="R19" s="352"/>
      <c r="S19" s="353"/>
      <c r="T19" s="341"/>
      <c r="U19" s="344"/>
      <c r="V19" s="338"/>
      <c r="W19" s="341"/>
      <c r="X19" s="344"/>
      <c r="Y19" s="338"/>
      <c r="Z19" s="97"/>
      <c r="AB19" s="274"/>
      <c r="AC19" s="275"/>
      <c r="AD19" s="325">
        <f>IF('野帳'!X25="","",'野帳'!X25)</f>
        <v>30.58</v>
      </c>
      <c r="AE19" s="326"/>
      <c r="AF19" s="326"/>
      <c r="AG19" s="326" t="e">
        <v>#REF!</v>
      </c>
      <c r="AH19" s="327" t="e">
        <v>#REF!</v>
      </c>
      <c r="AI19" s="318"/>
      <c r="AJ19" s="319"/>
      <c r="AK19" s="319"/>
      <c r="AL19" s="319"/>
      <c r="AM19" s="320"/>
      <c r="AN19" s="14"/>
      <c r="AO19" s="1"/>
      <c r="AP19" s="1"/>
    </row>
    <row r="20" spans="2:42" s="59" customFormat="1" ht="30" customHeight="1">
      <c r="B20" s="359"/>
      <c r="C20" s="328"/>
      <c r="D20" s="328" t="s">
        <v>28</v>
      </c>
      <c r="E20" s="328"/>
      <c r="F20" s="324" t="s">
        <v>16</v>
      </c>
      <c r="G20" s="235"/>
      <c r="H20" s="93">
        <f>'野帳'!U25</f>
        <v>279</v>
      </c>
      <c r="I20" s="88">
        <f>'野帳'!V25</f>
        <v>8</v>
      </c>
      <c r="J20" s="83">
        <f>'野帳'!W25</f>
        <v>50</v>
      </c>
      <c r="K20" s="330">
        <f aca="true" t="shared" si="12" ref="K20">INT(K58/3600)</f>
        <v>99</v>
      </c>
      <c r="L20" s="332">
        <f>INT((K58-K20*3600)/60)</f>
        <v>8</v>
      </c>
      <c r="M20" s="334">
        <f>ROUND(K58-K20*3600-L20*60,0)</f>
        <v>50</v>
      </c>
      <c r="N20" s="341"/>
      <c r="O20" s="344"/>
      <c r="P20" s="338"/>
      <c r="Q20" s="351"/>
      <c r="R20" s="352"/>
      <c r="S20" s="353"/>
      <c r="T20" s="341"/>
      <c r="U20" s="344"/>
      <c r="V20" s="338"/>
      <c r="W20" s="341"/>
      <c r="X20" s="344"/>
      <c r="Y20" s="338"/>
      <c r="Z20" s="97"/>
      <c r="AB20" s="274"/>
      <c r="AC20" s="275"/>
      <c r="AD20" s="370">
        <f>IF('野帳'!X27="","",'野帳'!X27)</f>
        <v>30.582</v>
      </c>
      <c r="AE20" s="371"/>
      <c r="AF20" s="371"/>
      <c r="AG20" s="371" t="e">
        <v>#REF!</v>
      </c>
      <c r="AH20" s="372" t="e">
        <v>#REF!</v>
      </c>
      <c r="AI20" s="318"/>
      <c r="AJ20" s="319"/>
      <c r="AK20" s="319"/>
      <c r="AL20" s="319"/>
      <c r="AM20" s="320"/>
      <c r="AN20" s="13"/>
      <c r="AO20" s="11"/>
      <c r="AP20" s="11"/>
    </row>
    <row r="21" spans="2:42" s="59" customFormat="1" ht="30" customHeight="1" thickBot="1">
      <c r="B21" s="308"/>
      <c r="C21" s="309"/>
      <c r="D21" s="309"/>
      <c r="E21" s="309"/>
      <c r="F21" s="373" t="s">
        <v>19</v>
      </c>
      <c r="G21" s="374"/>
      <c r="H21" s="91">
        <f>'野帳'!U26</f>
        <v>180</v>
      </c>
      <c r="I21" s="86">
        <f>'野帳'!V26</f>
        <v>0</v>
      </c>
      <c r="J21" s="81">
        <f>'野帳'!W26</f>
        <v>0</v>
      </c>
      <c r="K21" s="342"/>
      <c r="L21" s="345"/>
      <c r="M21" s="339"/>
      <c r="N21" s="342"/>
      <c r="O21" s="345"/>
      <c r="P21" s="339"/>
      <c r="Q21" s="354"/>
      <c r="R21" s="355"/>
      <c r="S21" s="356"/>
      <c r="T21" s="342"/>
      <c r="U21" s="345"/>
      <c r="V21" s="339"/>
      <c r="W21" s="342"/>
      <c r="X21" s="345"/>
      <c r="Y21" s="339"/>
      <c r="Z21" s="12"/>
      <c r="AB21" s="274"/>
      <c r="AC21" s="275"/>
      <c r="AD21" s="375">
        <f>IF('野帳'!X30="","",'野帳'!X30)</f>
        <v>30.583</v>
      </c>
      <c r="AE21" s="376"/>
      <c r="AF21" s="376"/>
      <c r="AG21" s="376" t="e">
        <v>#REF!</v>
      </c>
      <c r="AH21" s="377" t="e">
        <v>#REF!</v>
      </c>
      <c r="AI21" s="366"/>
      <c r="AJ21" s="367"/>
      <c r="AK21" s="367"/>
      <c r="AL21" s="367"/>
      <c r="AM21" s="368"/>
      <c r="AN21" s="1"/>
      <c r="AO21" s="1"/>
      <c r="AP21" s="1"/>
    </row>
    <row r="22" spans="2:42" s="59" customFormat="1" ht="30" customHeight="1">
      <c r="B22" s="306" t="s">
        <v>16</v>
      </c>
      <c r="C22" s="307"/>
      <c r="D22" s="307" t="s">
        <v>13</v>
      </c>
      <c r="E22" s="307"/>
      <c r="F22" s="361" t="s">
        <v>15</v>
      </c>
      <c r="G22" s="362"/>
      <c r="H22" s="92">
        <f>'野帳'!U27</f>
        <v>0</v>
      </c>
      <c r="I22" s="87">
        <f>'野帳'!V27</f>
        <v>0</v>
      </c>
      <c r="J22" s="82">
        <f>'野帳'!W27</f>
        <v>0</v>
      </c>
      <c r="K22" s="340">
        <f aca="true" t="shared" si="13" ref="K22">INT(K60/3600)</f>
        <v>98</v>
      </c>
      <c r="L22" s="343">
        <f>INT((K60-K22*3600)/60)</f>
        <v>24</v>
      </c>
      <c r="M22" s="337">
        <f>ROUND(K60-K22*3600-L22*60,0)</f>
        <v>40</v>
      </c>
      <c r="N22" s="340">
        <f aca="true" t="shared" si="14" ref="N22">INT(N60/3600)</f>
        <v>98</v>
      </c>
      <c r="O22" s="343">
        <f>INT((N60-N22*3600)/60)</f>
        <v>24</v>
      </c>
      <c r="P22" s="337">
        <f>ROUND(N60-N22*3600-O22*60,0)</f>
        <v>35</v>
      </c>
      <c r="Q22" s="348">
        <f aca="true" t="shared" si="15" ref="Q22">S60</f>
        <v>0</v>
      </c>
      <c r="R22" s="349"/>
      <c r="S22" s="350"/>
      <c r="T22" s="340">
        <f aca="true" t="shared" si="16" ref="T22">INT(T60/3600)</f>
        <v>98</v>
      </c>
      <c r="U22" s="343">
        <f>INT((T60-T22*3600)/60)</f>
        <v>24</v>
      </c>
      <c r="V22" s="337">
        <f>ROUND(T60-T22*3600-U22*60,0)</f>
        <v>35</v>
      </c>
      <c r="W22" s="340">
        <f aca="true" t="shared" si="17" ref="W22">INT(W60/3600)</f>
        <v>103</v>
      </c>
      <c r="X22" s="343">
        <f>INT((W60-W22*3600)/60)</f>
        <v>49</v>
      </c>
      <c r="Y22" s="337">
        <f>ROUND(W60-W22*3600-X22*60,0)</f>
        <v>3</v>
      </c>
      <c r="Z22" s="12"/>
      <c r="AB22" s="287" t="s">
        <v>26</v>
      </c>
      <c r="AC22" s="288"/>
      <c r="AD22" s="325">
        <f>IF('野帳'!X28="","",'野帳'!X28)</f>
        <v>33.003</v>
      </c>
      <c r="AE22" s="326"/>
      <c r="AF22" s="326"/>
      <c r="AG22" s="326" t="e">
        <v>#REF!</v>
      </c>
      <c r="AH22" s="327" t="e">
        <v>#REF!</v>
      </c>
      <c r="AI22" s="315">
        <f aca="true" t="shared" si="18" ref="AI22">ROUND(AVERAGE(AD22:AD25),3)</f>
        <v>33.002</v>
      </c>
      <c r="AJ22" s="316"/>
      <c r="AK22" s="316"/>
      <c r="AL22" s="316"/>
      <c r="AM22" s="317"/>
      <c r="AN22" s="1"/>
      <c r="AO22" s="1"/>
      <c r="AP22" s="1"/>
    </row>
    <row r="23" spans="2:42" s="59" customFormat="1" ht="30" customHeight="1">
      <c r="B23" s="359"/>
      <c r="C23" s="328"/>
      <c r="D23" s="328"/>
      <c r="E23" s="328"/>
      <c r="F23" s="324" t="s">
        <v>17</v>
      </c>
      <c r="G23" s="235"/>
      <c r="H23" s="93">
        <f>'野帳'!U28</f>
        <v>98</v>
      </c>
      <c r="I23" s="88">
        <f>'野帳'!V28</f>
        <v>24</v>
      </c>
      <c r="J23" s="83">
        <f>'野帳'!W28</f>
        <v>40</v>
      </c>
      <c r="K23" s="363"/>
      <c r="L23" s="364"/>
      <c r="M23" s="365"/>
      <c r="N23" s="341"/>
      <c r="O23" s="344"/>
      <c r="P23" s="338"/>
      <c r="Q23" s="351"/>
      <c r="R23" s="352"/>
      <c r="S23" s="353"/>
      <c r="T23" s="341"/>
      <c r="U23" s="344"/>
      <c r="V23" s="338"/>
      <c r="W23" s="341"/>
      <c r="X23" s="344"/>
      <c r="Y23" s="338"/>
      <c r="Z23" s="97"/>
      <c r="AB23" s="274"/>
      <c r="AC23" s="275"/>
      <c r="AD23" s="325">
        <f>IF('野帳'!X29="","",'野帳'!X29)</f>
        <v>33.004</v>
      </c>
      <c r="AE23" s="326"/>
      <c r="AF23" s="326"/>
      <c r="AG23" s="326" t="e">
        <v>#REF!</v>
      </c>
      <c r="AH23" s="327" t="e">
        <v>#REF!</v>
      </c>
      <c r="AI23" s="318"/>
      <c r="AJ23" s="319"/>
      <c r="AK23" s="319"/>
      <c r="AL23" s="319"/>
      <c r="AM23" s="320"/>
      <c r="AN23" s="1"/>
      <c r="AO23" s="1"/>
      <c r="AP23" s="1"/>
    </row>
    <row r="24" spans="2:42" s="59" customFormat="1" ht="30" customHeight="1">
      <c r="B24" s="359"/>
      <c r="C24" s="328"/>
      <c r="D24" s="328" t="s">
        <v>28</v>
      </c>
      <c r="E24" s="328"/>
      <c r="F24" s="324" t="s">
        <v>17</v>
      </c>
      <c r="G24" s="235"/>
      <c r="H24" s="93">
        <f>'野帳'!U29</f>
        <v>278</v>
      </c>
      <c r="I24" s="88">
        <f>'野帳'!V29</f>
        <v>24</v>
      </c>
      <c r="J24" s="83">
        <f>'野帳'!W29</f>
        <v>40</v>
      </c>
      <c r="K24" s="330">
        <f aca="true" t="shared" si="19" ref="K24">INT(K62/3600)</f>
        <v>98</v>
      </c>
      <c r="L24" s="332">
        <f>INT((K62-K24*3600)/60)</f>
        <v>24</v>
      </c>
      <c r="M24" s="334">
        <f>ROUND(K62-K24*3600-L24*60,0)</f>
        <v>30</v>
      </c>
      <c r="N24" s="341"/>
      <c r="O24" s="344"/>
      <c r="P24" s="338"/>
      <c r="Q24" s="351"/>
      <c r="R24" s="352"/>
      <c r="S24" s="353"/>
      <c r="T24" s="341"/>
      <c r="U24" s="344"/>
      <c r="V24" s="338"/>
      <c r="W24" s="341"/>
      <c r="X24" s="344"/>
      <c r="Y24" s="338"/>
      <c r="Z24" s="97"/>
      <c r="AB24" s="274"/>
      <c r="AC24" s="275"/>
      <c r="AD24" s="370">
        <f>IF('野帳'!X31="","",'野帳'!X31)</f>
        <v>33.001</v>
      </c>
      <c r="AE24" s="371"/>
      <c r="AF24" s="371"/>
      <c r="AG24" s="371" t="e">
        <v>#REF!</v>
      </c>
      <c r="AH24" s="372" t="e">
        <v>#REF!</v>
      </c>
      <c r="AI24" s="318"/>
      <c r="AJ24" s="319"/>
      <c r="AK24" s="319"/>
      <c r="AL24" s="319"/>
      <c r="AM24" s="320"/>
      <c r="AN24" s="1"/>
      <c r="AO24" s="1"/>
      <c r="AP24" s="1"/>
    </row>
    <row r="25" spans="2:42" s="59" customFormat="1" ht="30" customHeight="1" thickBot="1">
      <c r="B25" s="378"/>
      <c r="C25" s="369"/>
      <c r="D25" s="369"/>
      <c r="E25" s="369"/>
      <c r="F25" s="373" t="s">
        <v>15</v>
      </c>
      <c r="G25" s="374"/>
      <c r="H25" s="91">
        <f>'野帳'!U30</f>
        <v>180</v>
      </c>
      <c r="I25" s="86">
        <f>'野帳'!V30</f>
        <v>0</v>
      </c>
      <c r="J25" s="81">
        <f>'野帳'!W30</f>
        <v>10</v>
      </c>
      <c r="K25" s="342"/>
      <c r="L25" s="345"/>
      <c r="M25" s="339"/>
      <c r="N25" s="342"/>
      <c r="O25" s="345"/>
      <c r="P25" s="339"/>
      <c r="Q25" s="354"/>
      <c r="R25" s="355"/>
      <c r="S25" s="356"/>
      <c r="T25" s="342"/>
      <c r="U25" s="345"/>
      <c r="V25" s="339"/>
      <c r="W25" s="342"/>
      <c r="X25" s="345"/>
      <c r="Y25" s="339"/>
      <c r="Z25" s="12"/>
      <c r="AB25" s="206"/>
      <c r="AC25" s="207"/>
      <c r="AD25" s="375">
        <f>IF('野帳'!X34="","",'野帳'!X34)</f>
        <v>33.001</v>
      </c>
      <c r="AE25" s="376"/>
      <c r="AF25" s="376"/>
      <c r="AG25" s="376" t="e">
        <v>#REF!</v>
      </c>
      <c r="AH25" s="377" t="e">
        <v>#REF!</v>
      </c>
      <c r="AI25" s="366"/>
      <c r="AJ25" s="367"/>
      <c r="AK25" s="367"/>
      <c r="AL25" s="367"/>
      <c r="AM25" s="368"/>
      <c r="AN25" s="1"/>
      <c r="AO25" s="1"/>
      <c r="AP25" s="1"/>
    </row>
    <row r="26" spans="2:42" s="59" customFormat="1" ht="30" customHeight="1">
      <c r="B26" s="357" t="s">
        <v>17</v>
      </c>
      <c r="C26" s="358"/>
      <c r="D26" s="358" t="s">
        <v>13</v>
      </c>
      <c r="E26" s="358"/>
      <c r="F26" s="361" t="s">
        <v>16</v>
      </c>
      <c r="G26" s="362"/>
      <c r="H26" s="92">
        <f>'野帳'!U31</f>
        <v>0</v>
      </c>
      <c r="I26" s="87">
        <f>'野帳'!V31</f>
        <v>0</v>
      </c>
      <c r="J26" s="82">
        <f>'野帳'!W31</f>
        <v>0</v>
      </c>
      <c r="K26" s="340">
        <f aca="true" t="shared" si="20" ref="K26">INT(K64/3600)</f>
        <v>140</v>
      </c>
      <c r="L26" s="343">
        <f>INT((K64-K26*3600)/60)</f>
        <v>25</v>
      </c>
      <c r="M26" s="337">
        <f>ROUND(K64-K26*3600-L26*60,0)</f>
        <v>35</v>
      </c>
      <c r="N26" s="340">
        <f>INT(N64/3600)</f>
        <v>140</v>
      </c>
      <c r="O26" s="343">
        <f>INT((N64-N26*3600)/60)</f>
        <v>25</v>
      </c>
      <c r="P26" s="337">
        <f>ROUND(N64-N26*3600-O26*60,0)</f>
        <v>38</v>
      </c>
      <c r="Q26" s="348">
        <f>S64</f>
        <v>1</v>
      </c>
      <c r="R26" s="349"/>
      <c r="S26" s="350"/>
      <c r="T26" s="340">
        <f aca="true" t="shared" si="21" ref="T26">INT(T64/3600)</f>
        <v>140</v>
      </c>
      <c r="U26" s="343">
        <f>INT((T64-T26*3600)/60)</f>
        <v>25</v>
      </c>
      <c r="V26" s="337">
        <f>ROUND(T64-T26*3600-U26*60,0)</f>
        <v>39</v>
      </c>
      <c r="W26" s="340">
        <f aca="true" t="shared" si="22" ref="W26">INT(W64/3600)</f>
        <v>64</v>
      </c>
      <c r="X26" s="343">
        <f>INT((W64-W26*3600)/60)</f>
        <v>14</v>
      </c>
      <c r="Y26" s="337">
        <f>ROUND(W64-W26*3600-X26*60,0)</f>
        <v>42</v>
      </c>
      <c r="Z26" s="12"/>
      <c r="AB26" s="287" t="s">
        <v>27</v>
      </c>
      <c r="AC26" s="288"/>
      <c r="AD26" s="325">
        <f>IF('野帳'!X32="","",'野帳'!X32)</f>
        <v>26.47</v>
      </c>
      <c r="AE26" s="326"/>
      <c r="AF26" s="326"/>
      <c r="AG26" s="326" t="e">
        <v>#REF!</v>
      </c>
      <c r="AH26" s="327" t="e">
        <v>#REF!</v>
      </c>
      <c r="AI26" s="315">
        <f aca="true" t="shared" si="23" ref="AI26">ROUND(AVERAGE(AD26:AD29),3)</f>
        <v>26.471</v>
      </c>
      <c r="AJ26" s="316"/>
      <c r="AK26" s="316"/>
      <c r="AL26" s="316"/>
      <c r="AM26" s="317"/>
      <c r="AN26" s="1"/>
      <c r="AO26" s="1"/>
      <c r="AP26" s="1"/>
    </row>
    <row r="27" spans="2:42" s="59" customFormat="1" ht="30" customHeight="1">
      <c r="B27" s="359"/>
      <c r="C27" s="328"/>
      <c r="D27" s="328"/>
      <c r="E27" s="328"/>
      <c r="F27" s="324" t="s">
        <v>18</v>
      </c>
      <c r="G27" s="235"/>
      <c r="H27" s="93">
        <f>'野帳'!U32</f>
        <v>140</v>
      </c>
      <c r="I27" s="88">
        <f>'野帳'!V32</f>
        <v>25</v>
      </c>
      <c r="J27" s="83">
        <f>'野帳'!W32</f>
        <v>35</v>
      </c>
      <c r="K27" s="363"/>
      <c r="L27" s="364"/>
      <c r="M27" s="365"/>
      <c r="N27" s="341"/>
      <c r="O27" s="344"/>
      <c r="P27" s="338"/>
      <c r="Q27" s="351"/>
      <c r="R27" s="352"/>
      <c r="S27" s="353"/>
      <c r="T27" s="341"/>
      <c r="U27" s="344"/>
      <c r="V27" s="338"/>
      <c r="W27" s="341"/>
      <c r="X27" s="344"/>
      <c r="Y27" s="338"/>
      <c r="Z27" s="97"/>
      <c r="AB27" s="274"/>
      <c r="AC27" s="275"/>
      <c r="AD27" s="325">
        <f>IF('野帳'!X33="","",'野帳'!X33)</f>
        <v>26.47</v>
      </c>
      <c r="AE27" s="326"/>
      <c r="AF27" s="326"/>
      <c r="AG27" s="326" t="e">
        <v>#REF!</v>
      </c>
      <c r="AH27" s="327" t="e">
        <v>#REF!</v>
      </c>
      <c r="AI27" s="318"/>
      <c r="AJ27" s="319"/>
      <c r="AK27" s="319"/>
      <c r="AL27" s="319"/>
      <c r="AM27" s="320"/>
      <c r="AN27" s="1"/>
      <c r="AO27" s="1"/>
      <c r="AP27" s="1"/>
    </row>
    <row r="28" spans="2:42" s="59" customFormat="1" ht="30" customHeight="1">
      <c r="B28" s="359"/>
      <c r="C28" s="328"/>
      <c r="D28" s="328" t="s">
        <v>28</v>
      </c>
      <c r="E28" s="328"/>
      <c r="F28" s="324" t="s">
        <v>18</v>
      </c>
      <c r="G28" s="235"/>
      <c r="H28" s="93">
        <f>'野帳'!U33</f>
        <v>320</v>
      </c>
      <c r="I28" s="88">
        <f>'野帳'!V33</f>
        <v>25</v>
      </c>
      <c r="J28" s="83">
        <f>'野帳'!W33</f>
        <v>50</v>
      </c>
      <c r="K28" s="330">
        <f aca="true" t="shared" si="24" ref="K28">INT(K66/3600)</f>
        <v>140</v>
      </c>
      <c r="L28" s="332">
        <f>INT((K66-K28*3600)/60)</f>
        <v>25</v>
      </c>
      <c r="M28" s="334">
        <f>ROUND(K66-K28*3600-L28*60,0)</f>
        <v>40</v>
      </c>
      <c r="N28" s="341"/>
      <c r="O28" s="344"/>
      <c r="P28" s="338"/>
      <c r="Q28" s="351"/>
      <c r="R28" s="352"/>
      <c r="S28" s="353"/>
      <c r="T28" s="341"/>
      <c r="U28" s="344"/>
      <c r="V28" s="338"/>
      <c r="W28" s="341"/>
      <c r="X28" s="344"/>
      <c r="Y28" s="338"/>
      <c r="Z28" s="97"/>
      <c r="AB28" s="274"/>
      <c r="AC28" s="275"/>
      <c r="AD28" s="325">
        <f>IF('野帳'!X15="","",'野帳'!X15)</f>
        <v>26.472</v>
      </c>
      <c r="AE28" s="326"/>
      <c r="AF28" s="326"/>
      <c r="AG28" s="326" t="e">
        <v>#REF!</v>
      </c>
      <c r="AH28" s="327" t="e">
        <v>#REF!</v>
      </c>
      <c r="AI28" s="318"/>
      <c r="AJ28" s="319"/>
      <c r="AK28" s="319"/>
      <c r="AL28" s="319"/>
      <c r="AM28" s="320"/>
      <c r="AN28" s="1"/>
      <c r="AO28" s="1"/>
      <c r="AP28" s="1"/>
    </row>
    <row r="29" spans="2:42" s="59" customFormat="1" ht="30" customHeight="1" thickBot="1">
      <c r="B29" s="360"/>
      <c r="C29" s="329"/>
      <c r="D29" s="329"/>
      <c r="E29" s="329"/>
      <c r="F29" s="336" t="s">
        <v>16</v>
      </c>
      <c r="G29" s="227"/>
      <c r="H29" s="94">
        <f>'野帳'!U34</f>
        <v>180</v>
      </c>
      <c r="I29" s="89">
        <f>'野帳'!V34</f>
        <v>0</v>
      </c>
      <c r="J29" s="84">
        <f>'野帳'!W34</f>
        <v>10</v>
      </c>
      <c r="K29" s="331"/>
      <c r="L29" s="333"/>
      <c r="M29" s="335"/>
      <c r="N29" s="342"/>
      <c r="O29" s="345"/>
      <c r="P29" s="339"/>
      <c r="Q29" s="354"/>
      <c r="R29" s="355"/>
      <c r="S29" s="356"/>
      <c r="T29" s="342"/>
      <c r="U29" s="345"/>
      <c r="V29" s="339"/>
      <c r="W29" s="342"/>
      <c r="X29" s="345"/>
      <c r="Y29" s="339"/>
      <c r="Z29" s="12"/>
      <c r="AB29" s="346"/>
      <c r="AC29" s="347"/>
      <c r="AD29" s="325">
        <f>IF('野帳'!X18="","",'野帳'!X18)</f>
        <v>26.472</v>
      </c>
      <c r="AE29" s="326"/>
      <c r="AF29" s="326"/>
      <c r="AG29" s="326" t="e">
        <v>#REF!</v>
      </c>
      <c r="AH29" s="327" t="e">
        <v>#REF!</v>
      </c>
      <c r="AI29" s="321"/>
      <c r="AJ29" s="322"/>
      <c r="AK29" s="322"/>
      <c r="AL29" s="322"/>
      <c r="AM29" s="323"/>
      <c r="AN29" s="1"/>
      <c r="AO29" s="1"/>
      <c r="AP29" s="1"/>
    </row>
    <row r="30" spans="2:42" s="59" customFormat="1" ht="24.95" customHeight="1" thickTop="1">
      <c r="B30" s="306" t="s">
        <v>3</v>
      </c>
      <c r="C30" s="307"/>
      <c r="D30" s="268" t="s">
        <v>20</v>
      </c>
      <c r="E30" s="310"/>
      <c r="F30" s="268" t="s">
        <v>20</v>
      </c>
      <c r="G30" s="310"/>
      <c r="H30" s="268" t="s">
        <v>20</v>
      </c>
      <c r="I30" s="313"/>
      <c r="J30" s="310"/>
      <c r="K30" s="276" t="s">
        <v>20</v>
      </c>
      <c r="L30" s="276"/>
      <c r="M30" s="277"/>
      <c r="N30" s="304">
        <f>INT(N68/3600)</f>
        <v>539</v>
      </c>
      <c r="O30" s="294">
        <f>INT((N68-N30*3600)/60)</f>
        <v>59</v>
      </c>
      <c r="P30" s="296">
        <f>ROUND(N68-N30*3600-O30*60,0)</f>
        <v>57</v>
      </c>
      <c r="Q30" s="298">
        <f>S68</f>
        <v>3</v>
      </c>
      <c r="R30" s="299"/>
      <c r="S30" s="300"/>
      <c r="T30" s="304">
        <f>INT(T68/3600)</f>
        <v>540</v>
      </c>
      <c r="U30" s="294">
        <f>INT((T68-T30*3600)/60)</f>
        <v>0</v>
      </c>
      <c r="V30" s="296">
        <f>ROUND(T68-T30*3600-U30*60,0)</f>
        <v>0</v>
      </c>
      <c r="W30" s="268" t="s">
        <v>20</v>
      </c>
      <c r="X30" s="269"/>
      <c r="Y30" s="270"/>
      <c r="Z30" s="19"/>
      <c r="AB30" s="274" t="s">
        <v>3</v>
      </c>
      <c r="AC30" s="275"/>
      <c r="AD30" s="276" t="s">
        <v>20</v>
      </c>
      <c r="AE30" s="276"/>
      <c r="AF30" s="276"/>
      <c r="AG30" s="277"/>
      <c r="AH30" s="278"/>
      <c r="AI30" s="281">
        <f>SUM(AI10:AM29)</f>
        <v>161.608</v>
      </c>
      <c r="AJ30" s="282"/>
      <c r="AK30" s="282"/>
      <c r="AL30" s="282"/>
      <c r="AM30" s="283"/>
      <c r="AN30" s="1"/>
      <c r="AO30" s="1"/>
      <c r="AP30" s="1"/>
    </row>
    <row r="31" spans="2:42" s="59" customFormat="1" ht="24.95" customHeight="1" thickBot="1">
      <c r="B31" s="308"/>
      <c r="C31" s="309"/>
      <c r="D31" s="311"/>
      <c r="E31" s="312"/>
      <c r="F31" s="311"/>
      <c r="G31" s="312"/>
      <c r="H31" s="311"/>
      <c r="I31" s="314"/>
      <c r="J31" s="312"/>
      <c r="K31" s="279"/>
      <c r="L31" s="279"/>
      <c r="M31" s="279"/>
      <c r="N31" s="305"/>
      <c r="O31" s="295"/>
      <c r="P31" s="297"/>
      <c r="Q31" s="301"/>
      <c r="R31" s="302"/>
      <c r="S31" s="303"/>
      <c r="T31" s="305"/>
      <c r="U31" s="295"/>
      <c r="V31" s="297"/>
      <c r="W31" s="271"/>
      <c r="X31" s="272"/>
      <c r="Y31" s="273"/>
      <c r="Z31" s="19"/>
      <c r="AB31" s="206"/>
      <c r="AC31" s="207"/>
      <c r="AD31" s="279"/>
      <c r="AE31" s="279"/>
      <c r="AF31" s="279"/>
      <c r="AG31" s="279"/>
      <c r="AH31" s="280"/>
      <c r="AI31" s="284"/>
      <c r="AJ31" s="285"/>
      <c r="AK31" s="285"/>
      <c r="AL31" s="285"/>
      <c r="AM31" s="286"/>
      <c r="AN31" s="1"/>
      <c r="AO31" s="1"/>
      <c r="AP31" s="1"/>
    </row>
    <row r="32" spans="4:46" s="59" customFormat="1" ht="9" customHeight="1">
      <c r="D32" s="1"/>
      <c r="E32" s="1"/>
      <c r="F32" s="1"/>
      <c r="G32" s="1"/>
      <c r="H32" s="1"/>
      <c r="I32" s="1"/>
      <c r="J32" s="1"/>
      <c r="K32" s="1"/>
      <c r="L32" s="1"/>
      <c r="M32" s="13"/>
      <c r="N32" s="13"/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4"/>
      <c r="AP32" s="4"/>
      <c r="AQ32" s="4"/>
      <c r="AR32" s="4"/>
      <c r="AS32" s="4"/>
      <c r="AT32" s="4"/>
    </row>
    <row r="33" spans="2:36" s="59" customFormat="1" ht="32.1" customHeight="1" thickBot="1">
      <c r="B33" s="7" t="s">
        <v>34</v>
      </c>
      <c r="AJ33" s="7" t="s">
        <v>77</v>
      </c>
    </row>
    <row r="34" spans="2:45" s="8" customFormat="1" ht="33.95" customHeight="1" thickBot="1">
      <c r="B34" s="287" t="s">
        <v>21</v>
      </c>
      <c r="C34" s="288"/>
      <c r="D34" s="246" t="s">
        <v>55</v>
      </c>
      <c r="E34" s="247"/>
      <c r="F34" s="247"/>
      <c r="G34" s="247"/>
      <c r="H34" s="247"/>
      <c r="I34" s="289" t="s">
        <v>89</v>
      </c>
      <c r="J34" s="289"/>
      <c r="K34" s="289"/>
      <c r="L34" s="291" t="s">
        <v>57</v>
      </c>
      <c r="M34" s="292"/>
      <c r="N34" s="292"/>
      <c r="O34" s="292"/>
      <c r="P34" s="292"/>
      <c r="Q34" s="293"/>
      <c r="R34" s="246" t="s">
        <v>56</v>
      </c>
      <c r="S34" s="247"/>
      <c r="T34" s="247"/>
      <c r="U34" s="246" t="s">
        <v>60</v>
      </c>
      <c r="V34" s="247"/>
      <c r="W34" s="247"/>
      <c r="X34" s="244" t="s">
        <v>61</v>
      </c>
      <c r="Y34" s="246" t="s">
        <v>62</v>
      </c>
      <c r="Z34" s="247"/>
      <c r="AA34" s="247"/>
      <c r="AB34" s="247"/>
      <c r="AC34" s="248"/>
      <c r="AD34" s="246" t="s">
        <v>63</v>
      </c>
      <c r="AE34" s="247"/>
      <c r="AF34" s="247"/>
      <c r="AG34" s="247"/>
      <c r="AH34" s="252"/>
      <c r="AJ34" s="231" t="s">
        <v>78</v>
      </c>
      <c r="AK34" s="232"/>
      <c r="AL34" s="232"/>
      <c r="AM34" s="232"/>
      <c r="AN34" s="232"/>
      <c r="AO34" s="233"/>
      <c r="AP34" s="18"/>
      <c r="AQ34" s="18"/>
      <c r="AR34" s="18"/>
      <c r="AS34" s="18"/>
    </row>
    <row r="35" spans="2:45" s="8" customFormat="1" ht="27" customHeight="1" thickBot="1">
      <c r="B35" s="274"/>
      <c r="C35" s="275"/>
      <c r="D35" s="249"/>
      <c r="E35" s="250"/>
      <c r="F35" s="250"/>
      <c r="G35" s="250"/>
      <c r="H35" s="250"/>
      <c r="I35" s="290"/>
      <c r="J35" s="290"/>
      <c r="K35" s="290"/>
      <c r="L35" s="254" t="s">
        <v>58</v>
      </c>
      <c r="M35" s="254"/>
      <c r="N35" s="254"/>
      <c r="O35" s="254" t="s">
        <v>59</v>
      </c>
      <c r="P35" s="254"/>
      <c r="Q35" s="254"/>
      <c r="R35" s="249"/>
      <c r="S35" s="250"/>
      <c r="T35" s="250"/>
      <c r="U35" s="249"/>
      <c r="V35" s="250"/>
      <c r="W35" s="250"/>
      <c r="X35" s="245"/>
      <c r="Y35" s="249"/>
      <c r="Z35" s="250"/>
      <c r="AA35" s="250"/>
      <c r="AB35" s="250"/>
      <c r="AC35" s="251"/>
      <c r="AD35" s="249"/>
      <c r="AE35" s="250"/>
      <c r="AF35" s="250"/>
      <c r="AG35" s="250"/>
      <c r="AH35" s="253"/>
      <c r="AJ35" s="255" t="str">
        <f>ROUND(SQRT(F41^2+J41^2),3)&amp;"m"</f>
        <v>0.003m</v>
      </c>
      <c r="AK35" s="256"/>
      <c r="AL35" s="256"/>
      <c r="AM35" s="256"/>
      <c r="AN35" s="256"/>
      <c r="AO35" s="257"/>
      <c r="AP35" s="18"/>
      <c r="AQ35" s="18"/>
      <c r="AR35" s="18"/>
      <c r="AS35" s="18"/>
    </row>
    <row r="36" spans="2:45" s="8" customFormat="1" ht="33.95" customHeight="1" thickTop="1">
      <c r="B36" s="239" t="s">
        <v>23</v>
      </c>
      <c r="C36" s="240"/>
      <c r="D36" s="241">
        <f>J75</f>
        <v>29.366</v>
      </c>
      <c r="E36" s="242"/>
      <c r="F36" s="242"/>
      <c r="G36" s="242"/>
      <c r="H36" s="242"/>
      <c r="I36" s="243">
        <f>L75</f>
        <v>-14.114</v>
      </c>
      <c r="J36" s="243"/>
      <c r="K36" s="243"/>
      <c r="L36" s="241">
        <f>ROUND(-P86,3)</f>
        <v>0</v>
      </c>
      <c r="M36" s="242"/>
      <c r="N36" s="242"/>
      <c r="O36" s="241">
        <f>ROUND(-AA86,3)</f>
        <v>-0.001</v>
      </c>
      <c r="P36" s="242"/>
      <c r="Q36" s="242"/>
      <c r="R36" s="241">
        <f>ROUND(D36+L36,3)</f>
        <v>29.366</v>
      </c>
      <c r="S36" s="242"/>
      <c r="T36" s="242"/>
      <c r="U36" s="241">
        <f>ROUND(I36+O36,3)</f>
        <v>-14.115</v>
      </c>
      <c r="V36" s="242"/>
      <c r="W36" s="242"/>
      <c r="X36" s="72" t="s">
        <v>18</v>
      </c>
      <c r="Y36" s="241">
        <v>0</v>
      </c>
      <c r="Z36" s="242"/>
      <c r="AA36" s="242"/>
      <c r="AB36" s="242"/>
      <c r="AC36" s="264"/>
      <c r="AD36" s="265">
        <v>0</v>
      </c>
      <c r="AE36" s="266"/>
      <c r="AF36" s="266"/>
      <c r="AG36" s="266"/>
      <c r="AH36" s="267"/>
      <c r="AJ36" s="258"/>
      <c r="AK36" s="259"/>
      <c r="AL36" s="259"/>
      <c r="AM36" s="259"/>
      <c r="AN36" s="259"/>
      <c r="AO36" s="260"/>
      <c r="AP36" s="97"/>
      <c r="AQ36" s="97"/>
      <c r="AR36" s="97"/>
      <c r="AS36" s="97"/>
    </row>
    <row r="37" spans="2:45" s="8" customFormat="1" ht="33.95" customHeight="1" thickBot="1">
      <c r="B37" s="234" t="s">
        <v>24</v>
      </c>
      <c r="C37" s="235"/>
      <c r="D37" s="213">
        <f aca="true" t="shared" si="25" ref="D37:D40">J76</f>
        <v>-2.542</v>
      </c>
      <c r="E37" s="214"/>
      <c r="F37" s="214"/>
      <c r="G37" s="214"/>
      <c r="H37" s="215"/>
      <c r="I37" s="213">
        <f aca="true" t="shared" si="26" ref="I37:I40">L76</f>
        <v>-38.889</v>
      </c>
      <c r="J37" s="214"/>
      <c r="K37" s="215"/>
      <c r="L37" s="213">
        <f aca="true" t="shared" si="27" ref="L37:L40">ROUND(-P87,3)</f>
        <v>0.001</v>
      </c>
      <c r="M37" s="214"/>
      <c r="N37" s="215"/>
      <c r="O37" s="213">
        <f aca="true" t="shared" si="28" ref="O37:O40">ROUND(-AA87,3)</f>
        <v>-0.001</v>
      </c>
      <c r="P37" s="214"/>
      <c r="Q37" s="215"/>
      <c r="R37" s="213">
        <f aca="true" t="shared" si="29" ref="R37:R40">ROUND(D37+L37,3)</f>
        <v>-2.541</v>
      </c>
      <c r="S37" s="214"/>
      <c r="T37" s="215"/>
      <c r="U37" s="213">
        <f aca="true" t="shared" si="30" ref="U37:U40">ROUND(I37+O37,3)</f>
        <v>-38.89</v>
      </c>
      <c r="V37" s="214"/>
      <c r="W37" s="215"/>
      <c r="X37" s="73" t="s">
        <v>31</v>
      </c>
      <c r="Y37" s="213">
        <f>ROUND(Y36+R36,3)</f>
        <v>29.366</v>
      </c>
      <c r="Z37" s="214"/>
      <c r="AA37" s="214"/>
      <c r="AB37" s="214"/>
      <c r="AC37" s="215"/>
      <c r="AD37" s="213">
        <f>ROUND(AD36+U36,3)</f>
        <v>-14.115</v>
      </c>
      <c r="AE37" s="214"/>
      <c r="AF37" s="214"/>
      <c r="AG37" s="214"/>
      <c r="AH37" s="216"/>
      <c r="AJ37" s="261"/>
      <c r="AK37" s="262"/>
      <c r="AL37" s="262"/>
      <c r="AM37" s="262"/>
      <c r="AN37" s="262"/>
      <c r="AO37" s="263"/>
      <c r="AP37" s="97"/>
      <c r="AQ37" s="97"/>
      <c r="AR37" s="97"/>
      <c r="AS37" s="97"/>
    </row>
    <row r="38" spans="2:45" s="8" customFormat="1" ht="33.95" customHeight="1" thickBot="1">
      <c r="B38" s="234" t="s">
        <v>25</v>
      </c>
      <c r="C38" s="235"/>
      <c r="D38" s="213">
        <f t="shared" si="25"/>
        <v>-30.445</v>
      </c>
      <c r="E38" s="214"/>
      <c r="F38" s="214"/>
      <c r="G38" s="214"/>
      <c r="H38" s="215"/>
      <c r="I38" s="213">
        <f t="shared" si="26"/>
        <v>-2.882</v>
      </c>
      <c r="J38" s="214"/>
      <c r="K38" s="215"/>
      <c r="L38" s="213">
        <f t="shared" si="27"/>
        <v>0</v>
      </c>
      <c r="M38" s="214"/>
      <c r="N38" s="215"/>
      <c r="O38" s="236">
        <f t="shared" si="28"/>
        <v>0</v>
      </c>
      <c r="P38" s="237"/>
      <c r="Q38" s="238"/>
      <c r="R38" s="213">
        <f t="shared" si="29"/>
        <v>-30.445</v>
      </c>
      <c r="S38" s="214"/>
      <c r="T38" s="215"/>
      <c r="U38" s="213">
        <f t="shared" si="30"/>
        <v>-2.882</v>
      </c>
      <c r="V38" s="214"/>
      <c r="W38" s="215"/>
      <c r="X38" s="73" t="s">
        <v>32</v>
      </c>
      <c r="Y38" s="213">
        <f>ROUND(Y37+R37,3)</f>
        <v>26.825</v>
      </c>
      <c r="Z38" s="214"/>
      <c r="AA38" s="214"/>
      <c r="AB38" s="214"/>
      <c r="AC38" s="215"/>
      <c r="AD38" s="213">
        <f aca="true" t="shared" si="31" ref="AD38:AD40">ROUND(AD37+U37,3)</f>
        <v>-53.005</v>
      </c>
      <c r="AE38" s="214"/>
      <c r="AF38" s="214"/>
      <c r="AG38" s="214"/>
      <c r="AH38" s="216"/>
      <c r="AJ38" s="231" t="s">
        <v>79</v>
      </c>
      <c r="AK38" s="232"/>
      <c r="AL38" s="232"/>
      <c r="AM38" s="232"/>
      <c r="AN38" s="232"/>
      <c r="AO38" s="233"/>
      <c r="AP38" s="97"/>
      <c r="AQ38" s="97"/>
      <c r="AR38" s="97"/>
      <c r="AS38" s="97"/>
    </row>
    <row r="39" spans="2:45" s="8" customFormat="1" ht="33.95" customHeight="1">
      <c r="B39" s="234" t="s">
        <v>26</v>
      </c>
      <c r="C39" s="235"/>
      <c r="D39" s="213">
        <f t="shared" si="25"/>
        <v>-7.882</v>
      </c>
      <c r="E39" s="214"/>
      <c r="F39" s="214"/>
      <c r="G39" s="214"/>
      <c r="H39" s="215"/>
      <c r="I39" s="213">
        <f t="shared" si="26"/>
        <v>32.047</v>
      </c>
      <c r="J39" s="214"/>
      <c r="K39" s="215"/>
      <c r="L39" s="213">
        <f t="shared" si="27"/>
        <v>0</v>
      </c>
      <c r="M39" s="214"/>
      <c r="N39" s="215"/>
      <c r="O39" s="213">
        <f t="shared" si="28"/>
        <v>-0.001</v>
      </c>
      <c r="P39" s="214"/>
      <c r="Q39" s="215"/>
      <c r="R39" s="213">
        <f t="shared" si="29"/>
        <v>-7.882</v>
      </c>
      <c r="S39" s="214"/>
      <c r="T39" s="215"/>
      <c r="U39" s="213">
        <f t="shared" si="30"/>
        <v>32.046</v>
      </c>
      <c r="V39" s="214"/>
      <c r="W39" s="215"/>
      <c r="X39" s="73" t="s">
        <v>33</v>
      </c>
      <c r="Y39" s="213">
        <f>ROUND(Y38+R38,3)</f>
        <v>-3.62</v>
      </c>
      <c r="Z39" s="214"/>
      <c r="AA39" s="214"/>
      <c r="AB39" s="214"/>
      <c r="AC39" s="215"/>
      <c r="AD39" s="213">
        <f t="shared" si="31"/>
        <v>-55.887</v>
      </c>
      <c r="AE39" s="214"/>
      <c r="AF39" s="214"/>
      <c r="AG39" s="214"/>
      <c r="AH39" s="216"/>
      <c r="AJ39" s="217" t="str">
        <f>IF(ROUND(SQRT(F41^2+J41^2),3)=0,"無限大",1&amp;CHAR(10)&amp;"――――"&amp;CHAR(10)&amp;ROUND(INT(ROUNDDOWN(AI30/ROUND(SQRT(F41^2+J41^2),3),0)/10^(ROUNDUP(LOG(ROUNDDOWN(AI30/ROUND(SQRT(F41^2+J41^2),3),0))/LOG(10),0)-3))*10^(ROUNDUP(LOG(ROUNDDOWN(AI30/ROUND(SQRT(F41^2+J41^2),3),0))/LOG(10),0)-3),0))</f>
        <v>1
――――
53800</v>
      </c>
      <c r="AK39" s="218"/>
      <c r="AL39" s="218"/>
      <c r="AM39" s="218"/>
      <c r="AN39" s="218"/>
      <c r="AO39" s="219"/>
      <c r="AP39" s="97"/>
      <c r="AQ39" s="97"/>
      <c r="AR39" s="97"/>
      <c r="AS39" s="97"/>
    </row>
    <row r="40" spans="2:45" s="8" customFormat="1" ht="33.95" customHeight="1" thickBot="1">
      <c r="B40" s="226" t="s">
        <v>27</v>
      </c>
      <c r="C40" s="227"/>
      <c r="D40" s="228">
        <f t="shared" si="25"/>
        <v>11.502</v>
      </c>
      <c r="E40" s="229"/>
      <c r="F40" s="229"/>
      <c r="G40" s="229"/>
      <c r="H40" s="230"/>
      <c r="I40" s="228">
        <f t="shared" si="26"/>
        <v>23.841</v>
      </c>
      <c r="J40" s="229"/>
      <c r="K40" s="230"/>
      <c r="L40" s="228">
        <f t="shared" si="27"/>
        <v>0</v>
      </c>
      <c r="M40" s="229"/>
      <c r="N40" s="230"/>
      <c r="O40" s="228">
        <f t="shared" si="28"/>
        <v>0</v>
      </c>
      <c r="P40" s="229"/>
      <c r="Q40" s="230"/>
      <c r="R40" s="228">
        <f t="shared" si="29"/>
        <v>11.502</v>
      </c>
      <c r="S40" s="229"/>
      <c r="T40" s="230"/>
      <c r="U40" s="228">
        <f t="shared" si="30"/>
        <v>23.841</v>
      </c>
      <c r="V40" s="229"/>
      <c r="W40" s="230"/>
      <c r="X40" s="74" t="s">
        <v>29</v>
      </c>
      <c r="Y40" s="202">
        <f>ROUND(Y39+R39,3)</f>
        <v>-11.502</v>
      </c>
      <c r="Z40" s="203"/>
      <c r="AA40" s="203"/>
      <c r="AB40" s="203"/>
      <c r="AC40" s="204"/>
      <c r="AD40" s="202">
        <f t="shared" si="31"/>
        <v>-23.841</v>
      </c>
      <c r="AE40" s="203"/>
      <c r="AF40" s="203"/>
      <c r="AG40" s="203"/>
      <c r="AH40" s="205"/>
      <c r="AJ40" s="220"/>
      <c r="AK40" s="221"/>
      <c r="AL40" s="221"/>
      <c r="AM40" s="221"/>
      <c r="AN40" s="221"/>
      <c r="AO40" s="222"/>
      <c r="AP40" s="97"/>
      <c r="AQ40" s="97"/>
      <c r="AR40" s="97"/>
      <c r="AS40" s="97"/>
    </row>
    <row r="41" spans="2:45" s="8" customFormat="1" ht="33.95" customHeight="1" thickBot="1" thickTop="1">
      <c r="B41" s="206" t="s">
        <v>30</v>
      </c>
      <c r="C41" s="207"/>
      <c r="D41" s="208" t="s">
        <v>100</v>
      </c>
      <c r="E41" s="209"/>
      <c r="F41" s="210">
        <f>J80</f>
        <v>-0.001</v>
      </c>
      <c r="G41" s="210"/>
      <c r="H41" s="211"/>
      <c r="I41" s="75" t="s">
        <v>101</v>
      </c>
      <c r="J41" s="210">
        <f>L80</f>
        <v>0.003</v>
      </c>
      <c r="K41" s="211"/>
      <c r="L41" s="212">
        <f>ROUND(SUM(L36:N40),3)</f>
        <v>0.001</v>
      </c>
      <c r="M41" s="210"/>
      <c r="N41" s="211"/>
      <c r="O41" s="212">
        <f>ROUND(SUM(O36:Q40),3)</f>
        <v>-0.003</v>
      </c>
      <c r="P41" s="210"/>
      <c r="Q41" s="211"/>
      <c r="R41" s="212">
        <f aca="true" t="shared" si="32" ref="R41">ROUND(SUM(R36:T40),3)</f>
        <v>0</v>
      </c>
      <c r="S41" s="210"/>
      <c r="T41" s="211"/>
      <c r="U41" s="212">
        <f>ROUND(SUM(U36:W40),3)</f>
        <v>0</v>
      </c>
      <c r="V41" s="210"/>
      <c r="W41" s="211"/>
      <c r="X41" s="76"/>
      <c r="Y41" s="77"/>
      <c r="Z41" s="78"/>
      <c r="AA41" s="78"/>
      <c r="AB41" s="78"/>
      <c r="AC41" s="78"/>
      <c r="AD41" s="78"/>
      <c r="AE41" s="79"/>
      <c r="AF41" s="79"/>
      <c r="AG41" s="79"/>
      <c r="AH41" s="79"/>
      <c r="AI41" s="15"/>
      <c r="AJ41" s="223"/>
      <c r="AK41" s="224"/>
      <c r="AL41" s="224"/>
      <c r="AM41" s="224"/>
      <c r="AN41" s="224"/>
      <c r="AO41" s="225"/>
      <c r="AP41" s="16"/>
      <c r="AQ41" s="16"/>
      <c r="AR41" s="16"/>
      <c r="AS41" s="17"/>
    </row>
    <row r="42" spans="4:46" s="59" customFormat="1" ht="114.7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"/>
      <c r="AP42" s="4"/>
      <c r="AQ42" s="4"/>
      <c r="AR42" s="4"/>
      <c r="AS42" s="4"/>
      <c r="AT42" s="4"/>
    </row>
    <row r="43" spans="4:46" s="59" customFormat="1" ht="37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4"/>
      <c r="AP43" s="4"/>
      <c r="AQ43" s="4"/>
      <c r="AR43" s="4"/>
      <c r="AS43" s="4"/>
      <c r="AT43" s="4"/>
    </row>
    <row r="44" ht="23.25" customHeight="1"/>
    <row r="45" spans="8:26" ht="23.25" customHeight="1">
      <c r="H45" s="62" t="s">
        <v>90</v>
      </c>
      <c r="K45" s="62" t="s">
        <v>91</v>
      </c>
      <c r="N45" s="62" t="s">
        <v>92</v>
      </c>
      <c r="O45" s="62" t="s">
        <v>98</v>
      </c>
      <c r="P45" s="62" t="s">
        <v>93</v>
      </c>
      <c r="S45" s="62" t="s">
        <v>97</v>
      </c>
      <c r="T45" s="62" t="s">
        <v>96</v>
      </c>
      <c r="V45" s="62" t="s">
        <v>102</v>
      </c>
      <c r="W45" s="62" t="s">
        <v>103</v>
      </c>
      <c r="Z45" s="62" t="s">
        <v>99</v>
      </c>
    </row>
    <row r="46" spans="8:46" s="59" customFormat="1" ht="14.25">
      <c r="H46" s="59">
        <f aca="true" t="shared" si="33" ref="H46:H67">ROUND(H8*3600+I8*60+J8,0)</f>
        <v>0</v>
      </c>
      <c r="K46" s="199">
        <f>ROUND(H47-H46,0)</f>
        <v>1203590</v>
      </c>
      <c r="N46" s="199"/>
      <c r="O46" s="199">
        <f>ROUND(540*3600-N68,0)</f>
        <v>3</v>
      </c>
      <c r="P46" s="199"/>
      <c r="T46" s="199"/>
      <c r="Y46" s="201"/>
      <c r="Z46" s="200">
        <v>1</v>
      </c>
      <c r="AA46" s="200">
        <v>2</v>
      </c>
      <c r="AB46" s="200">
        <v>3</v>
      </c>
      <c r="AC46" s="200">
        <v>4</v>
      </c>
      <c r="AD46" s="200">
        <v>5</v>
      </c>
      <c r="AO46" s="98"/>
      <c r="AP46" s="98"/>
      <c r="AQ46" s="98"/>
      <c r="AR46" s="98"/>
      <c r="AS46" s="98"/>
      <c r="AT46" s="98"/>
    </row>
    <row r="47" spans="8:46" s="59" customFormat="1" ht="14.25">
      <c r="H47" s="59">
        <f t="shared" si="33"/>
        <v>1203590</v>
      </c>
      <c r="K47" s="199"/>
      <c r="N47" s="199"/>
      <c r="O47" s="199"/>
      <c r="P47" s="199"/>
      <c r="T47" s="199"/>
      <c r="Y47" s="201"/>
      <c r="Z47" s="200"/>
      <c r="AA47" s="200"/>
      <c r="AB47" s="200"/>
      <c r="AC47" s="200"/>
      <c r="AD47" s="200"/>
      <c r="AO47" s="98"/>
      <c r="AP47" s="98"/>
      <c r="AQ47" s="98"/>
      <c r="AR47" s="98"/>
      <c r="AS47" s="98"/>
      <c r="AT47" s="98"/>
    </row>
    <row r="48" spans="8:46" s="59" customFormat="1" ht="14.25" customHeight="1">
      <c r="H48" s="59">
        <f t="shared" si="33"/>
        <v>0</v>
      </c>
      <c r="K48" s="199">
        <f aca="true" t="shared" si="34" ref="K48:K64">ROUND(H49-H48,0)</f>
        <v>324300</v>
      </c>
      <c r="M48" s="199" t="s">
        <v>94</v>
      </c>
      <c r="N48" s="199">
        <f>IF(K50=0,ROUND(K48,0),ROUND((K48+K50)/2,0))</f>
        <v>324308</v>
      </c>
      <c r="O48" s="199">
        <f>IF($O$46&gt;=0,INT($O$46/5),-INT(-$O$46/5))</f>
        <v>0</v>
      </c>
      <c r="P48" s="199">
        <f>RANK(N48,$N$48:$N$67)</f>
        <v>5</v>
      </c>
      <c r="S48" s="199">
        <f>AD48</f>
        <v>0</v>
      </c>
      <c r="T48" s="199">
        <f>ROUND(N48+S48,0)</f>
        <v>324308</v>
      </c>
      <c r="V48" s="199">
        <f>K46</f>
        <v>1203590</v>
      </c>
      <c r="W48" s="199">
        <f>IF(V48&gt;0,V48,V48+3600*360)</f>
        <v>1203590</v>
      </c>
      <c r="X48" s="199"/>
      <c r="Z48" s="198">
        <f>TRUNC($O$46/5,0)</f>
        <v>0</v>
      </c>
      <c r="AA48" s="198">
        <f>IF($O$46=Z$68,Z48,IF($P48=AA$46-1,ROUNDUP(($O$46-Z$68)/5,0)+Z48,Z48))</f>
        <v>0</v>
      </c>
      <c r="AB48" s="198">
        <f aca="true" t="shared" si="35" ref="AB48:AD48">IF($O$46=AA$68,AA48,IF($P48=AB$46-1,ROUNDUP(($O$46-AA$68)/5,0)+AA48,AA48))</f>
        <v>0</v>
      </c>
      <c r="AC48" s="198">
        <f t="shared" si="35"/>
        <v>0</v>
      </c>
      <c r="AD48" s="198">
        <f t="shared" si="35"/>
        <v>0</v>
      </c>
      <c r="AO48" s="98"/>
      <c r="AP48" s="98"/>
      <c r="AQ48" s="98"/>
      <c r="AR48" s="98"/>
      <c r="AS48" s="98"/>
      <c r="AT48" s="98"/>
    </row>
    <row r="49" spans="8:46" s="59" customFormat="1" ht="14.25" customHeight="1">
      <c r="H49" s="59">
        <f t="shared" si="33"/>
        <v>324300</v>
      </c>
      <c r="K49" s="199"/>
      <c r="M49" s="199"/>
      <c r="N49" s="199"/>
      <c r="O49" s="199"/>
      <c r="P49" s="199"/>
      <c r="S49" s="199"/>
      <c r="T49" s="199"/>
      <c r="V49" s="199"/>
      <c r="W49" s="199"/>
      <c r="X49" s="199"/>
      <c r="Z49" s="198"/>
      <c r="AA49" s="198"/>
      <c r="AB49" s="198"/>
      <c r="AC49" s="198"/>
      <c r="AD49" s="198"/>
      <c r="AO49" s="98"/>
      <c r="AP49" s="98"/>
      <c r="AQ49" s="98"/>
      <c r="AR49" s="98"/>
      <c r="AS49" s="98"/>
      <c r="AT49" s="98"/>
    </row>
    <row r="50" spans="8:46" s="59" customFormat="1" ht="14.25" customHeight="1">
      <c r="H50" s="59">
        <f t="shared" si="33"/>
        <v>972315</v>
      </c>
      <c r="K50" s="199">
        <f>ROUND(H50-H51,0)</f>
        <v>324315</v>
      </c>
      <c r="M50" s="199"/>
      <c r="N50" s="199"/>
      <c r="O50" s="199"/>
      <c r="P50" s="199"/>
      <c r="S50" s="199"/>
      <c r="T50" s="199"/>
      <c r="V50" s="199"/>
      <c r="W50" s="199"/>
      <c r="X50" s="199"/>
      <c r="Z50" s="198"/>
      <c r="AA50" s="198"/>
      <c r="AB50" s="198"/>
      <c r="AC50" s="198"/>
      <c r="AD50" s="198"/>
      <c r="AO50" s="98"/>
      <c r="AP50" s="98"/>
      <c r="AQ50" s="98"/>
      <c r="AR50" s="98"/>
      <c r="AS50" s="98"/>
      <c r="AT50" s="98"/>
    </row>
    <row r="51" spans="8:46" s="59" customFormat="1" ht="14.25" customHeight="1">
      <c r="H51" s="59">
        <f t="shared" si="33"/>
        <v>648000</v>
      </c>
      <c r="K51" s="199"/>
      <c r="M51" s="199"/>
      <c r="N51" s="199"/>
      <c r="O51" s="199"/>
      <c r="P51" s="199"/>
      <c r="S51" s="199"/>
      <c r="T51" s="199"/>
      <c r="V51" s="199"/>
      <c r="W51" s="199"/>
      <c r="X51" s="199"/>
      <c r="Z51" s="198"/>
      <c r="AA51" s="198"/>
      <c r="AB51" s="198"/>
      <c r="AC51" s="198"/>
      <c r="AD51" s="198"/>
      <c r="AO51" s="98"/>
      <c r="AP51" s="98"/>
      <c r="AQ51" s="98"/>
      <c r="AR51" s="98"/>
      <c r="AS51" s="98"/>
      <c r="AT51" s="98"/>
    </row>
    <row r="52" spans="8:46" s="59" customFormat="1" ht="14.25" customHeight="1">
      <c r="H52" s="59">
        <f t="shared" si="33"/>
        <v>0</v>
      </c>
      <c r="K52" s="199">
        <f t="shared" si="34"/>
        <v>402945</v>
      </c>
      <c r="M52" s="199" t="s">
        <v>31</v>
      </c>
      <c r="N52" s="199">
        <f aca="true" t="shared" si="36" ref="N52">IF(K54=0,ROUND(K52,0),ROUND((K52+K54)/2,0))</f>
        <v>402943</v>
      </c>
      <c r="O52" s="199">
        <f aca="true" t="shared" si="37" ref="O52">IF($O$46&gt;=0,INT($O$46/5),-INT(-$O$46/5))</f>
        <v>0</v>
      </c>
      <c r="P52" s="199">
        <f aca="true" t="shared" si="38" ref="P52">RANK(N52,$N$48:$N$67)</f>
        <v>2</v>
      </c>
      <c r="S52" s="199">
        <f aca="true" t="shared" si="39" ref="S52">AD52</f>
        <v>1</v>
      </c>
      <c r="T52" s="199">
        <f aca="true" t="shared" si="40" ref="T52">ROUND(N52+S52,0)</f>
        <v>402944</v>
      </c>
      <c r="V52" s="199">
        <f>W48+T52-180*3600</f>
        <v>958534</v>
      </c>
      <c r="W52" s="199">
        <f aca="true" t="shared" si="41" ref="W52">IF(V52&gt;0,V52,V52+3600*360)</f>
        <v>958534</v>
      </c>
      <c r="X52" s="199"/>
      <c r="Z52" s="198">
        <f aca="true" t="shared" si="42" ref="Z52">TRUNC($O$46/5,0)</f>
        <v>0</v>
      </c>
      <c r="AA52" s="198">
        <f aca="true" t="shared" si="43" ref="AA52:AD52">IF($O$46=Z$68,Z52,IF($P52=AA$46-1,ROUNDUP(($O$46-Z$68)/5,0)+Z52,Z52))</f>
        <v>0</v>
      </c>
      <c r="AB52" s="198">
        <f t="shared" si="43"/>
        <v>1</v>
      </c>
      <c r="AC52" s="198">
        <f t="shared" si="43"/>
        <v>1</v>
      </c>
      <c r="AD52" s="198">
        <f t="shared" si="43"/>
        <v>1</v>
      </c>
      <c r="AO52" s="98"/>
      <c r="AP52" s="98"/>
      <c r="AQ52" s="98"/>
      <c r="AR52" s="98"/>
      <c r="AS52" s="98"/>
      <c r="AT52" s="98"/>
    </row>
    <row r="53" spans="8:46" s="59" customFormat="1" ht="14.25" customHeight="1">
      <c r="H53" s="59">
        <f t="shared" si="33"/>
        <v>402945</v>
      </c>
      <c r="K53" s="199"/>
      <c r="M53" s="199"/>
      <c r="N53" s="199"/>
      <c r="O53" s="199"/>
      <c r="P53" s="199"/>
      <c r="S53" s="199"/>
      <c r="T53" s="199"/>
      <c r="V53" s="199"/>
      <c r="W53" s="199"/>
      <c r="X53" s="199"/>
      <c r="Z53" s="198"/>
      <c r="AA53" s="198"/>
      <c r="AB53" s="198"/>
      <c r="AC53" s="198"/>
      <c r="AD53" s="198"/>
      <c r="AO53" s="98"/>
      <c r="AP53" s="98"/>
      <c r="AQ53" s="98"/>
      <c r="AR53" s="98"/>
      <c r="AS53" s="98"/>
      <c r="AT53" s="98"/>
    </row>
    <row r="54" spans="8:46" s="59" customFormat="1" ht="14.25" customHeight="1">
      <c r="H54" s="59">
        <f t="shared" si="33"/>
        <v>1050930</v>
      </c>
      <c r="K54" s="199">
        <f aca="true" t="shared" si="44" ref="K54">ROUND(H54-H55,0)</f>
        <v>402940</v>
      </c>
      <c r="M54" s="199"/>
      <c r="N54" s="199"/>
      <c r="O54" s="199"/>
      <c r="P54" s="199"/>
      <c r="S54" s="199"/>
      <c r="T54" s="199"/>
      <c r="V54" s="199"/>
      <c r="W54" s="199"/>
      <c r="X54" s="199"/>
      <c r="Z54" s="198"/>
      <c r="AA54" s="198"/>
      <c r="AB54" s="198"/>
      <c r="AC54" s="198"/>
      <c r="AD54" s="198"/>
      <c r="AO54" s="98"/>
      <c r="AP54" s="98"/>
      <c r="AQ54" s="98"/>
      <c r="AR54" s="98"/>
      <c r="AS54" s="98"/>
      <c r="AT54" s="98"/>
    </row>
    <row r="55" spans="8:46" s="59" customFormat="1" ht="14.25" customHeight="1">
      <c r="H55" s="59">
        <f t="shared" si="33"/>
        <v>647990</v>
      </c>
      <c r="K55" s="199"/>
      <c r="M55" s="199"/>
      <c r="N55" s="199"/>
      <c r="O55" s="199"/>
      <c r="P55" s="199"/>
      <c r="S55" s="199"/>
      <c r="T55" s="199"/>
      <c r="V55" s="199"/>
      <c r="W55" s="199"/>
      <c r="X55" s="199"/>
      <c r="Z55" s="198"/>
      <c r="AA55" s="198"/>
      <c r="AB55" s="198"/>
      <c r="AC55" s="198"/>
      <c r="AD55" s="198"/>
      <c r="AO55" s="98"/>
      <c r="AP55" s="98"/>
      <c r="AQ55" s="98"/>
      <c r="AR55" s="98"/>
      <c r="AS55" s="98"/>
      <c r="AT55" s="98"/>
    </row>
    <row r="56" spans="8:46" s="59" customFormat="1" ht="14.25" customHeight="1">
      <c r="H56" s="59">
        <f t="shared" si="33"/>
        <v>0</v>
      </c>
      <c r="K56" s="199">
        <f t="shared" si="34"/>
        <v>356935</v>
      </c>
      <c r="M56" s="199" t="s">
        <v>32</v>
      </c>
      <c r="N56" s="199">
        <f aca="true" t="shared" si="45" ref="N56">IF(K58=0,ROUND(K56,0),ROUND((K56+K58)/2,0))</f>
        <v>356933</v>
      </c>
      <c r="O56" s="199">
        <f aca="true" t="shared" si="46" ref="O56">IF($O$46&gt;=0,INT($O$46/5),-INT(-$O$46/5))</f>
        <v>0</v>
      </c>
      <c r="P56" s="199">
        <f aca="true" t="shared" si="47" ref="P56">RANK(N56,$N$48:$N$67)</f>
        <v>3</v>
      </c>
      <c r="S56" s="199">
        <f aca="true" t="shared" si="48" ref="S56">AD56</f>
        <v>1</v>
      </c>
      <c r="T56" s="199">
        <f aca="true" t="shared" si="49" ref="T56">ROUND(N56+S56,0)</f>
        <v>356934</v>
      </c>
      <c r="V56" s="199">
        <f aca="true" t="shared" si="50" ref="V56">W52+T56-180*3600</f>
        <v>667468</v>
      </c>
      <c r="W56" s="199">
        <f aca="true" t="shared" si="51" ref="W56">IF(V56&gt;0,V56,V56+3600*360)</f>
        <v>667468</v>
      </c>
      <c r="X56" s="199"/>
      <c r="Z56" s="198">
        <f aca="true" t="shared" si="52" ref="Z56">TRUNC($O$46/5,0)</f>
        <v>0</v>
      </c>
      <c r="AA56" s="198">
        <f aca="true" t="shared" si="53" ref="AA56:AD56">IF($O$46=Z$68,Z56,IF($P56=AA$46-1,ROUNDUP(($O$46-Z$68)/5,0)+Z56,Z56))</f>
        <v>0</v>
      </c>
      <c r="AB56" s="198">
        <f t="shared" si="53"/>
        <v>0</v>
      </c>
      <c r="AC56" s="198">
        <f t="shared" si="53"/>
        <v>1</v>
      </c>
      <c r="AD56" s="198">
        <f t="shared" si="53"/>
        <v>1</v>
      </c>
      <c r="AO56" s="98"/>
      <c r="AP56" s="98"/>
      <c r="AQ56" s="98"/>
      <c r="AR56" s="98"/>
      <c r="AS56" s="98"/>
      <c r="AT56" s="98"/>
    </row>
    <row r="57" spans="8:46" s="59" customFormat="1" ht="14.25" customHeight="1">
      <c r="H57" s="59">
        <f t="shared" si="33"/>
        <v>356935</v>
      </c>
      <c r="K57" s="199"/>
      <c r="M57" s="199"/>
      <c r="N57" s="199"/>
      <c r="O57" s="199"/>
      <c r="P57" s="199"/>
      <c r="S57" s="199"/>
      <c r="T57" s="199"/>
      <c r="V57" s="199"/>
      <c r="W57" s="199"/>
      <c r="X57" s="199"/>
      <c r="Z57" s="198"/>
      <c r="AA57" s="198"/>
      <c r="AB57" s="198"/>
      <c r="AC57" s="198"/>
      <c r="AD57" s="198"/>
      <c r="AO57" s="98"/>
      <c r="AP57" s="98"/>
      <c r="AQ57" s="98"/>
      <c r="AR57" s="98"/>
      <c r="AS57" s="98"/>
      <c r="AT57" s="98"/>
    </row>
    <row r="58" spans="8:46" s="59" customFormat="1" ht="14.25" customHeight="1">
      <c r="H58" s="59">
        <f t="shared" si="33"/>
        <v>1004930</v>
      </c>
      <c r="K58" s="199">
        <f aca="true" t="shared" si="54" ref="K58">ROUND(H58-H59,0)</f>
        <v>356930</v>
      </c>
      <c r="M58" s="199"/>
      <c r="N58" s="199"/>
      <c r="O58" s="199"/>
      <c r="P58" s="199"/>
      <c r="S58" s="199"/>
      <c r="T58" s="199"/>
      <c r="V58" s="199"/>
      <c r="W58" s="199"/>
      <c r="X58" s="199"/>
      <c r="Z58" s="198"/>
      <c r="AA58" s="198"/>
      <c r="AB58" s="198"/>
      <c r="AC58" s="198"/>
      <c r="AD58" s="198"/>
      <c r="AO58" s="98"/>
      <c r="AP58" s="98"/>
      <c r="AQ58" s="98"/>
      <c r="AR58" s="98"/>
      <c r="AS58" s="98"/>
      <c r="AT58" s="98"/>
    </row>
    <row r="59" spans="8:46" s="59" customFormat="1" ht="14.25" customHeight="1">
      <c r="H59" s="59">
        <f t="shared" si="33"/>
        <v>648000</v>
      </c>
      <c r="K59" s="199"/>
      <c r="M59" s="199"/>
      <c r="N59" s="199"/>
      <c r="O59" s="199"/>
      <c r="P59" s="199"/>
      <c r="S59" s="199"/>
      <c r="T59" s="199"/>
      <c r="V59" s="199"/>
      <c r="W59" s="199"/>
      <c r="X59" s="199"/>
      <c r="Z59" s="198"/>
      <c r="AA59" s="198"/>
      <c r="AB59" s="198"/>
      <c r="AC59" s="198"/>
      <c r="AD59" s="198"/>
      <c r="AO59" s="98"/>
      <c r="AP59" s="98"/>
      <c r="AQ59" s="98"/>
      <c r="AR59" s="98"/>
      <c r="AS59" s="98"/>
      <c r="AT59" s="98"/>
    </row>
    <row r="60" spans="8:46" s="59" customFormat="1" ht="14.25" customHeight="1">
      <c r="H60" s="59">
        <f t="shared" si="33"/>
        <v>0</v>
      </c>
      <c r="K60" s="199">
        <f t="shared" si="34"/>
        <v>354280</v>
      </c>
      <c r="M60" s="199" t="s">
        <v>33</v>
      </c>
      <c r="N60" s="199">
        <f aca="true" t="shared" si="55" ref="N60">IF(K62=0,ROUND(K60,0),ROUND((K60+K62)/2,0))</f>
        <v>354275</v>
      </c>
      <c r="O60" s="199">
        <f aca="true" t="shared" si="56" ref="O60">IF($O$46&gt;=0,INT($O$46/5),-INT(-$O$46/5))</f>
        <v>0</v>
      </c>
      <c r="P60" s="199">
        <f aca="true" t="shared" si="57" ref="P60">RANK(N60,$N$48:$N$67)</f>
        <v>4</v>
      </c>
      <c r="S60" s="199">
        <f aca="true" t="shared" si="58" ref="S60">AD60</f>
        <v>0</v>
      </c>
      <c r="T60" s="199">
        <f aca="true" t="shared" si="59" ref="T60">ROUND(N60+S60,0)</f>
        <v>354275</v>
      </c>
      <c r="V60" s="199">
        <f aca="true" t="shared" si="60" ref="V60">W56+T60-180*3600</f>
        <v>373743</v>
      </c>
      <c r="W60" s="199">
        <f aca="true" t="shared" si="61" ref="W60">IF(V60&gt;0,V60,V60+3600*360)</f>
        <v>373743</v>
      </c>
      <c r="X60" s="199"/>
      <c r="Z60" s="198">
        <f aca="true" t="shared" si="62" ref="Z60">TRUNC($O$46/5,0)</f>
        <v>0</v>
      </c>
      <c r="AA60" s="198">
        <f aca="true" t="shared" si="63" ref="AA60:AD60">IF($O$46=Z$68,Z60,IF($P60=AA$46-1,ROUNDUP(($O$46-Z$68)/5,0)+Z60,Z60))</f>
        <v>0</v>
      </c>
      <c r="AB60" s="198">
        <f t="shared" si="63"/>
        <v>0</v>
      </c>
      <c r="AC60" s="198">
        <f t="shared" si="63"/>
        <v>0</v>
      </c>
      <c r="AD60" s="198">
        <f t="shared" si="63"/>
        <v>0</v>
      </c>
      <c r="AO60" s="98"/>
      <c r="AP60" s="98"/>
      <c r="AQ60" s="98"/>
      <c r="AR60" s="98"/>
      <c r="AS60" s="98"/>
      <c r="AT60" s="98"/>
    </row>
    <row r="61" spans="8:46" s="59" customFormat="1" ht="14.25" customHeight="1">
      <c r="H61" s="59">
        <f t="shared" si="33"/>
        <v>354280</v>
      </c>
      <c r="K61" s="199"/>
      <c r="M61" s="199"/>
      <c r="N61" s="199"/>
      <c r="O61" s="199"/>
      <c r="P61" s="199"/>
      <c r="S61" s="199"/>
      <c r="T61" s="199"/>
      <c r="V61" s="199"/>
      <c r="W61" s="199"/>
      <c r="X61" s="199"/>
      <c r="Z61" s="198"/>
      <c r="AA61" s="198"/>
      <c r="AB61" s="198"/>
      <c r="AC61" s="198"/>
      <c r="AD61" s="198"/>
      <c r="AO61" s="98"/>
      <c r="AP61" s="98"/>
      <c r="AQ61" s="98"/>
      <c r="AR61" s="98"/>
      <c r="AS61" s="98"/>
      <c r="AT61" s="98"/>
    </row>
    <row r="62" spans="8:46" s="59" customFormat="1" ht="14.25" customHeight="1">
      <c r="H62" s="59">
        <f t="shared" si="33"/>
        <v>1002280</v>
      </c>
      <c r="K62" s="199">
        <f aca="true" t="shared" si="64" ref="K62">ROUND(H62-H63,0)</f>
        <v>354270</v>
      </c>
      <c r="M62" s="199"/>
      <c r="N62" s="199"/>
      <c r="O62" s="199"/>
      <c r="P62" s="199"/>
      <c r="S62" s="199"/>
      <c r="T62" s="199"/>
      <c r="V62" s="199"/>
      <c r="W62" s="199"/>
      <c r="X62" s="199"/>
      <c r="Z62" s="198"/>
      <c r="AA62" s="198"/>
      <c r="AB62" s="198"/>
      <c r="AC62" s="198"/>
      <c r="AD62" s="198"/>
      <c r="AO62" s="98"/>
      <c r="AP62" s="98"/>
      <c r="AQ62" s="98"/>
      <c r="AR62" s="98"/>
      <c r="AS62" s="98"/>
      <c r="AT62" s="98"/>
    </row>
    <row r="63" spans="8:46" s="59" customFormat="1" ht="14.25" customHeight="1">
      <c r="H63" s="59">
        <f t="shared" si="33"/>
        <v>648010</v>
      </c>
      <c r="K63" s="199"/>
      <c r="M63" s="199"/>
      <c r="N63" s="199"/>
      <c r="O63" s="199"/>
      <c r="P63" s="199"/>
      <c r="S63" s="199"/>
      <c r="T63" s="199"/>
      <c r="V63" s="199"/>
      <c r="W63" s="199"/>
      <c r="X63" s="199"/>
      <c r="Z63" s="198"/>
      <c r="AA63" s="198"/>
      <c r="AB63" s="198"/>
      <c r="AC63" s="198"/>
      <c r="AD63" s="198"/>
      <c r="AO63" s="98"/>
      <c r="AP63" s="98"/>
      <c r="AQ63" s="98"/>
      <c r="AR63" s="98"/>
      <c r="AS63" s="98"/>
      <c r="AT63" s="98"/>
    </row>
    <row r="64" spans="8:46" s="59" customFormat="1" ht="14.25" customHeight="1">
      <c r="H64" s="59">
        <f t="shared" si="33"/>
        <v>0</v>
      </c>
      <c r="K64" s="199">
        <f t="shared" si="34"/>
        <v>505535</v>
      </c>
      <c r="M64" s="199" t="s">
        <v>29</v>
      </c>
      <c r="N64" s="199">
        <f aca="true" t="shared" si="65" ref="N64">IF(K66=0,ROUND(K64,0),ROUND((K64+K66)/2,0))</f>
        <v>505538</v>
      </c>
      <c r="O64" s="199">
        <f aca="true" t="shared" si="66" ref="O64">IF($O$46&gt;=0,INT($O$46/5),-INT(-$O$46/5))</f>
        <v>0</v>
      </c>
      <c r="P64" s="199">
        <f aca="true" t="shared" si="67" ref="P64">RANK(N64,$N$48:$N$67)</f>
        <v>1</v>
      </c>
      <c r="S64" s="199">
        <f aca="true" t="shared" si="68" ref="S64">AD64</f>
        <v>1</v>
      </c>
      <c r="T64" s="199">
        <f aca="true" t="shared" si="69" ref="T64">ROUND(N64+S64,0)</f>
        <v>505539</v>
      </c>
      <c r="V64" s="199">
        <f aca="true" t="shared" si="70" ref="V64">W60+T64-180*3600</f>
        <v>231282</v>
      </c>
      <c r="W64" s="199">
        <f aca="true" t="shared" si="71" ref="W64">IF(V64&gt;0,V64,V64+3600*360)</f>
        <v>231282</v>
      </c>
      <c r="X64" s="199"/>
      <c r="Z64" s="198">
        <f aca="true" t="shared" si="72" ref="Z64">TRUNC($O$46/5,0)</f>
        <v>0</v>
      </c>
      <c r="AA64" s="198">
        <f aca="true" t="shared" si="73" ref="AA64:AD64">IF($O$46=Z$68,Z64,IF($P64=AA$46-1,ROUNDUP(($O$46-Z$68)/5,0)+Z64,Z64))</f>
        <v>1</v>
      </c>
      <c r="AB64" s="198">
        <f t="shared" si="73"/>
        <v>1</v>
      </c>
      <c r="AC64" s="198">
        <f t="shared" si="73"/>
        <v>1</v>
      </c>
      <c r="AD64" s="198">
        <f t="shared" si="73"/>
        <v>1</v>
      </c>
      <c r="AO64" s="98"/>
      <c r="AP64" s="98"/>
      <c r="AQ64" s="98"/>
      <c r="AR64" s="98"/>
      <c r="AS64" s="98"/>
      <c r="AT64" s="98"/>
    </row>
    <row r="65" spans="8:46" s="59" customFormat="1" ht="14.25" customHeight="1">
      <c r="H65" s="59">
        <f t="shared" si="33"/>
        <v>505535</v>
      </c>
      <c r="K65" s="199"/>
      <c r="M65" s="199"/>
      <c r="N65" s="199"/>
      <c r="O65" s="199"/>
      <c r="P65" s="199"/>
      <c r="S65" s="199"/>
      <c r="T65" s="199"/>
      <c r="V65" s="199"/>
      <c r="W65" s="199"/>
      <c r="X65" s="199"/>
      <c r="Z65" s="198"/>
      <c r="AA65" s="198"/>
      <c r="AB65" s="198"/>
      <c r="AC65" s="198"/>
      <c r="AD65" s="198"/>
      <c r="AO65" s="98"/>
      <c r="AP65" s="98"/>
      <c r="AQ65" s="98"/>
      <c r="AR65" s="98"/>
      <c r="AS65" s="98"/>
      <c r="AT65" s="98"/>
    </row>
    <row r="66" spans="8:46" s="59" customFormat="1" ht="14.25" customHeight="1">
      <c r="H66" s="59">
        <f t="shared" si="33"/>
        <v>1153550</v>
      </c>
      <c r="K66" s="199">
        <f aca="true" t="shared" si="74" ref="K66">ROUND(H66-H67,0)</f>
        <v>505540</v>
      </c>
      <c r="M66" s="199"/>
      <c r="N66" s="199"/>
      <c r="O66" s="199"/>
      <c r="P66" s="199"/>
      <c r="S66" s="199"/>
      <c r="T66" s="199"/>
      <c r="V66" s="199"/>
      <c r="W66" s="199"/>
      <c r="X66" s="199"/>
      <c r="Z66" s="198"/>
      <c r="AA66" s="198"/>
      <c r="AB66" s="198"/>
      <c r="AC66" s="198"/>
      <c r="AD66" s="198"/>
      <c r="AO66" s="98"/>
      <c r="AP66" s="98"/>
      <c r="AQ66" s="98"/>
      <c r="AR66" s="98"/>
      <c r="AS66" s="98"/>
      <c r="AT66" s="98"/>
    </row>
    <row r="67" spans="8:46" s="59" customFormat="1" ht="14.25" customHeight="1">
      <c r="H67" s="59">
        <f t="shared" si="33"/>
        <v>648010</v>
      </c>
      <c r="K67" s="199"/>
      <c r="M67" s="199"/>
      <c r="N67" s="199"/>
      <c r="O67" s="199"/>
      <c r="P67" s="199"/>
      <c r="S67" s="199"/>
      <c r="T67" s="199"/>
      <c r="V67" s="199"/>
      <c r="W67" s="199"/>
      <c r="X67" s="199"/>
      <c r="Z67" s="198"/>
      <c r="AA67" s="198"/>
      <c r="AB67" s="198"/>
      <c r="AC67" s="198"/>
      <c r="AD67" s="198"/>
      <c r="AO67" s="98"/>
      <c r="AP67" s="98"/>
      <c r="AQ67" s="98"/>
      <c r="AR67" s="98"/>
      <c r="AS67" s="98"/>
      <c r="AT67" s="98"/>
    </row>
    <row r="68" spans="13:46" s="59" customFormat="1" ht="14.25">
      <c r="M68" s="59" t="s">
        <v>95</v>
      </c>
      <c r="N68" s="59">
        <f>SUM(N48:N67)</f>
        <v>1943997</v>
      </c>
      <c r="O68" s="59">
        <f>ROUND(SUM(O48:O67),0)</f>
        <v>0</v>
      </c>
      <c r="S68" s="59">
        <f>ROUND(SUM(S48:S67),0)</f>
        <v>3</v>
      </c>
      <c r="T68" s="59">
        <f>ROUND(SUM(T48:T67),0)</f>
        <v>1944000</v>
      </c>
      <c r="Y68" s="59" t="s">
        <v>1</v>
      </c>
      <c r="Z68" s="60">
        <f>SUM(Z48:Z67)</f>
        <v>0</v>
      </c>
      <c r="AA68" s="60">
        <f>SUM(AA48:AA67)</f>
        <v>1</v>
      </c>
      <c r="AB68" s="60">
        <f>SUM(AB48:AB67)</f>
        <v>2</v>
      </c>
      <c r="AC68" s="60">
        <f aca="true" t="shared" si="75" ref="AC68">SUM(AC48:AC67)</f>
        <v>3</v>
      </c>
      <c r="AD68" s="60">
        <f>SUM(AD48:AD67)</f>
        <v>3</v>
      </c>
      <c r="AO68" s="98"/>
      <c r="AP68" s="98"/>
      <c r="AQ68" s="98"/>
      <c r="AR68" s="98"/>
      <c r="AS68" s="98"/>
      <c r="AT68" s="98"/>
    </row>
    <row r="69" spans="15:46" s="59" customFormat="1" ht="14.25">
      <c r="O69" s="59">
        <f>ROUND(O46-O68,0)</f>
        <v>3</v>
      </c>
      <c r="AO69" s="98"/>
      <c r="AP69" s="98"/>
      <c r="AQ69" s="98"/>
      <c r="AR69" s="98"/>
      <c r="AS69" s="98"/>
      <c r="AT69" s="98"/>
    </row>
    <row r="70" ht="13.5" customHeight="1"/>
    <row r="71" ht="13.5" customHeight="1"/>
    <row r="72" ht="13.5" customHeight="1"/>
    <row r="74" spans="10:12" ht="13.5">
      <c r="J74" s="62" t="s">
        <v>104</v>
      </c>
      <c r="L74" s="62" t="s">
        <v>104</v>
      </c>
    </row>
    <row r="75" spans="8:12" ht="14.25">
      <c r="H75" s="61">
        <f>(W10+X10/60+Y10/3600)*PI()/180</f>
        <v>5.8351689844662635</v>
      </c>
      <c r="J75" s="62">
        <f>ROUND(AI10*COS(H75),3)</f>
        <v>29.366</v>
      </c>
      <c r="L75" s="62">
        <f>ROUND(AI10*SIN(H75),3)</f>
        <v>-14.114</v>
      </c>
    </row>
    <row r="76" spans="8:12" ht="14.25">
      <c r="H76" s="61">
        <f>(W14+X14/60+Y14/3600)*PI()/180</f>
        <v>4.64710397008648</v>
      </c>
      <c r="J76" s="62">
        <f>ROUND(AI14*COS(H76),3)</f>
        <v>-2.542</v>
      </c>
      <c r="L76" s="62">
        <f>ROUND(AI14*SIN(H76),3)</f>
        <v>-38.889</v>
      </c>
    </row>
    <row r="77" spans="8:12" ht="14.25">
      <c r="H77" s="61">
        <f>(W18+X18/60+Y18/3600)*PI()/180</f>
        <v>3.2359761810281977</v>
      </c>
      <c r="J77" s="62">
        <f>ROUND(AI18*COS(H77),3)</f>
        <v>-30.445</v>
      </c>
      <c r="L77" s="62">
        <f>ROUND(AI18*SIN(H77),3)</f>
        <v>-2.882</v>
      </c>
    </row>
    <row r="78" spans="8:22" ht="14.25">
      <c r="H78" s="61">
        <f>(W22+X22/60+Y22/3600)*PI()/180</f>
        <v>1.811957196189213</v>
      </c>
      <c r="J78" s="62">
        <f>ROUND(AI22*COS(H78),3)</f>
        <v>-7.882</v>
      </c>
      <c r="L78" s="62">
        <f>ROUND(AI22*SIN(H78),3)</f>
        <v>32.047</v>
      </c>
      <c r="V78" s="101"/>
    </row>
    <row r="79" spans="8:12" ht="14.25">
      <c r="H79" s="61">
        <f>(W26+X26/60+Y26/3600)*PI()/180</f>
        <v>1.121286777943757</v>
      </c>
      <c r="J79" s="62">
        <f>ROUND(AI26*COS(H79),3)</f>
        <v>11.502</v>
      </c>
      <c r="L79" s="62">
        <f>ROUND(AI26*SIN(H79),3)</f>
        <v>23.841</v>
      </c>
    </row>
    <row r="80" spans="10:12" ht="13.5">
      <c r="J80" s="62">
        <f>ROUND(SUM(J75:J79),3)</f>
        <v>-0.001</v>
      </c>
      <c r="L80" s="62">
        <f>ROUND(SUM(L75:L79),3)</f>
        <v>0.003</v>
      </c>
    </row>
    <row r="84" spans="7:27" ht="13.5">
      <c r="G84" s="64" t="s">
        <v>107</v>
      </c>
      <c r="H84" s="99"/>
      <c r="I84" s="99"/>
      <c r="J84" s="99"/>
      <c r="K84" s="99"/>
      <c r="L84" s="99"/>
      <c r="M84" s="99"/>
      <c r="N84" s="99"/>
      <c r="O84" s="99"/>
      <c r="P84" s="100"/>
      <c r="R84" s="64" t="s">
        <v>33</v>
      </c>
      <c r="S84" s="99"/>
      <c r="T84" s="99"/>
      <c r="U84" s="99"/>
      <c r="V84" s="99"/>
      <c r="W84" s="99"/>
      <c r="X84" s="99"/>
      <c r="Y84" s="99"/>
      <c r="Z84" s="99"/>
      <c r="AA84" s="100"/>
    </row>
    <row r="85" spans="7:27" ht="13.5">
      <c r="G85" s="65"/>
      <c r="H85" s="63"/>
      <c r="I85" s="63"/>
      <c r="J85" s="63" t="s">
        <v>105</v>
      </c>
      <c r="K85" s="63"/>
      <c r="L85" s="63"/>
      <c r="M85" s="63"/>
      <c r="N85" s="63"/>
      <c r="O85" s="63"/>
      <c r="P85" s="66"/>
      <c r="R85" s="65"/>
      <c r="S85" s="63"/>
      <c r="T85" s="63"/>
      <c r="U85" s="63" t="s">
        <v>105</v>
      </c>
      <c r="V85" s="63"/>
      <c r="W85" s="63"/>
      <c r="X85" s="63"/>
      <c r="Y85" s="63"/>
      <c r="Z85" s="63"/>
      <c r="AA85" s="66"/>
    </row>
    <row r="86" spans="7:27" ht="13.5">
      <c r="G86" s="65"/>
      <c r="H86" s="63">
        <f>ROUND($F$41*AI10/$AI$30,3)</f>
        <v>0</v>
      </c>
      <c r="I86" s="63">
        <f>$F$41*AI10/AI30</f>
        <v>-0.00020161130637097173</v>
      </c>
      <c r="J86" s="63">
        <f>IF(H86-I86&gt;=0,1,0)</f>
        <v>1</v>
      </c>
      <c r="K86" s="63">
        <f>IF(AND(F$41&gt;=0,H$92&gt;=0,H86-I86&lt;0),1,IF(AND(F$41&gt;=0,H$92&lt;0,H86-I86&gt;=0),2,IF(AND(F$41&lt;0,H$92&gt;=0,H86-I86&lt;0),3,IF(AND(F$41&lt;0,H$92&lt;0,H86-I86&gt;=0),4,0))))</f>
        <v>4</v>
      </c>
      <c r="L86" s="67">
        <f>IF($H$92=0,H86,IF(AND($K86=1,RANK($I98,$I$98:$I$102,0)=1),$H86+0.001,IF(AND($K86=2,RANK($I98,$I$98:$I$102,0)=1),$H86-0.001,IF(AND($K86=3,RANK($I98,$I$98:$I$102,0)=1),$H86+0.001,IF(AND($K86=4,RANK($I98,$I$98:$I$102,0)=1),$H86-0.001,H86)))))</f>
        <v>0</v>
      </c>
      <c r="M86" s="67">
        <f>IF(L$92=0,L86,IF(AND($K86=1,RANK($I98,$I$98:$I$102,0)=2),$H86+0.001,IF(AND($K86=2,RANK($I98,$I$98:$I$102,0)=2),$H86-0.001,IF(AND($K86=3,RANK($I98,$I$98:$I$102,0)=2),$H86+0.001,IF(AND($K86=4,RANK($I98,$I$98:$I$102,0)=2),$H86-0.001,L86)))))</f>
        <v>0</v>
      </c>
      <c r="N86" s="67">
        <f>IF(M$92=0,M86,IF(AND($K86=1,RANK($I98,$I$98:$I$102,0)=3),$H86+0.001,IF(AND($K86=2,RANK($I98,$I$98:$I$102,0)=3),$H86-0.001,IF(AND($K86=3,RANK($I98,$I$98:$I$102,0)=3),$H86+0.001,IF(AND($K86=4,RANK($I98,$I$98:$I$102,0)=3),$H86-0.001,M86)))))</f>
        <v>0</v>
      </c>
      <c r="O86" s="67">
        <f>IF(N$92=0,N86,IF(AND($K86=1,RANK($I98,$I$98:$I$102,0)=4),$H86+0.001,IF(AND($K86=2,RANK($I98,$I$98:$I$102,0)=4),$H86-0.001,IF(AND($K86=3,RANK($I98,$I$98:$I$102,0)=4),$H86+0.001,IF(AND($K86=4,RANK($I98,$I$98:$I$102,0)=4),$H86-0.001,N86)))))</f>
        <v>0</v>
      </c>
      <c r="P86" s="68">
        <f>IF(O$92=0,O86,IF(AND($K86=1,RANK($I98,$I$98:$I$102,0)=5),$H86+0.001,IF(AND($K86=2,RANK($I98,$I$98:$I$102,0)=5),$H86-0.001,IF(AND($K86=3,RANK($I98,$I$98:$I$102,0)=5),$H86+0.001,IF(AND($K86=4,RANK($I98,$I$98:$I$102,0)=5),$H86-0.001,O86)))))</f>
        <v>0</v>
      </c>
      <c r="R86" s="65"/>
      <c r="S86" s="95">
        <f>ROUND($J$41*AI10/$AI$30,3)</f>
        <v>0.001</v>
      </c>
      <c r="T86" s="63">
        <f>$J$41*AI10/AI30</f>
        <v>0.0006048339191129152</v>
      </c>
      <c r="U86" s="63">
        <f>IF(S86-T86&gt;=0,1,0)</f>
        <v>1</v>
      </c>
      <c r="V86" s="63">
        <f>IF(AND(J$41&gt;=0,S$92&gt;=0,S86-T86&lt;0),1,IF(AND(J$41&gt;=0,S$92&lt;0,S86-T86&gt;=0),2,IF(AND(J$41&lt;0,S$92&gt;=0,S86-T86&lt;0),3,IF(AND(J$41&lt;0,S$92&lt;0,S86-T86&gt;=0),4,0))))</f>
        <v>2</v>
      </c>
      <c r="W86" s="67">
        <f>IF($S$92=0,S86,IF(AND($V86=1,RANK($T98,$T$98:$T$102,0)=1),$S86+0.001,IF(AND($V86=2,RANK($T98,$T$98:$T$102,0)=1),$S86-0.001,IF(AND($V86=3,RANK($T98,$T$98:$T$102,0)=1),$S86+0.001,IF(AND($V86=4,RANK($T98,$T$98:$T$102,0)=1),$S86-0.001,S86)))))</f>
        <v>0.001</v>
      </c>
      <c r="X86" s="67">
        <f>IF(W$92=0,W86,IF(AND($V86=1,RANK($T98,$T$98:$T$102,0)=2),$S86+0.001,IF(AND($V86=2,RANK($T98,$T$98:$T$102,0)=2),$S86-0.001,IF(AND($V86=3,RANK($T98,$T$98:$T$102,0)=2),$S86+0.001,IF(AND($V86=4,RANK($T98,$T$98:$T$102,0)=2),$S86-0.001,W86)))))</f>
        <v>0.001</v>
      </c>
      <c r="Y86" s="67">
        <f>IF(X$92=0,X86,IF(AND($V86=1,RANK($T98,$T$98:$T$102,0)=3),$S86+0.001,IF(AND($V86=2,RANK($T98,$T$98:$T$102,0)=3),$S86-0.001,IF(AND($V86=3,RANK($T98,$T$98:$T$102,0)=3),$S86+0.001,IF(AND($V86=4,RANK($T98,$T$98:$T$102,0)=3),$S86-0.001,X86)))))</f>
        <v>0.001</v>
      </c>
      <c r="Z86" s="67">
        <f>IF(Y$92=0,Y86,IF(AND($V86=1,RANK($T98,$T$98:$T$102,0)=4),$S86+0.001,IF(AND($V86=2,RANK($T98,$T$98:$T$102,0)=4),$S86-0.001,IF(AND($V86=3,RANK($T98,$T$98:$T$102,0)=4),$S86+0.001,IF(AND($V86=4,RANK($T98,$T$98:$T$102,0)=4),$S86-0.001,Y86)))))</f>
        <v>0.001</v>
      </c>
      <c r="AA86" s="68">
        <f>IF(Z$92=0,Z86,IF(AND($V86=1,RANK($T98,$T$98:$T$102,0)=5),$S86+0.001,IF(AND($V86=2,RANK($T98,$T$98:$T$102,0)=5),$S86-0.001,IF(AND($V86=3,RANK($T98,$T$98:$T$102,0)=5),$S86+0.001,IF(AND($V86=4,RANK($T98,$T$98:$T$102,0)=5),$S86-0.001,Z86)))))</f>
        <v>0.001</v>
      </c>
    </row>
    <row r="87" spans="7:27" ht="13.5">
      <c r="G87" s="65"/>
      <c r="H87" s="63">
        <f>ROUND($F$41*AI14/$AI$30,3)</f>
        <v>0</v>
      </c>
      <c r="I87" s="63">
        <f>$F$41*AI14/AI30</f>
        <v>-0.00024115142814712143</v>
      </c>
      <c r="J87" s="63">
        <f aca="true" t="shared" si="76" ref="J87:J90">IF(H87-I87&gt;=0,1,0)</f>
        <v>1</v>
      </c>
      <c r="K87" s="63">
        <f>IF(AND(F$41&gt;=0,H$92&gt;=0,H87-I87&lt;0),1,IF(AND(F$41&gt;=0,H$92&lt;0,H87-I87&gt;=0),2,IF(AND(F$41&lt;0,H$92&gt;=0,H87-I87&lt;0),3,IF(AND(F$41&lt;0,H$92&lt;0,H87-I87&gt;=0),4,0))))</f>
        <v>4</v>
      </c>
      <c r="L87" s="67">
        <f>IF($H$92=0,H87,IF(AND($K87=1,RANK($I99,$I$98:$I$102,0)=1),$H87+0.001,IF(AND($K87=2,RANK($I99,$I$98:$I$102,0)=1),$H87-0.001,IF(AND($K87=3,RANK($I99,$I$98:$I$102,0)=1),$H87+0.001,IF(AND($K87=4,RANK($I99,$I$98:$I$102,0)=1),$H87-0.001,H87)))))</f>
        <v>-0.001</v>
      </c>
      <c r="M87" s="67">
        <f aca="true" t="shared" si="77" ref="M87:M90">IF(L$92=0,L87,IF(AND($K87=1,RANK($I99,$I$98:$I$102,0)=2),$H87+0.001,IF(AND($K87=2,RANK($I99,$I$98:$I$102,0)=2),$H87-0.001,IF(AND($K87=3,RANK($I99,$I$98:$I$102,0)=2),$H87+0.001,IF(AND($K87=4,RANK($I99,$I$98:$I$102,0)=2),$H87-0.001,L87)))))</f>
        <v>-0.001</v>
      </c>
      <c r="N87" s="67">
        <f aca="true" t="shared" si="78" ref="N87:N90">IF(M$92=0,M87,IF(AND($K87=1,RANK($I99,$I$98:$I$102,0)=3),$H87+0.001,IF(AND($K87=2,RANK($I99,$I$98:$I$102,0)=3),$H87-0.001,IF(AND($K87=3,RANK($I99,$I$98:$I$102,0)=3),$H87+0.001,IF(AND($K87=4,RANK($I99,$I$98:$I$102,0)=3),$H87-0.001,M87)))))</f>
        <v>-0.001</v>
      </c>
      <c r="O87" s="67">
        <f aca="true" t="shared" si="79" ref="O87:O90">IF(N$92=0,N87,IF(AND($K87=1,RANK($I99,$I$98:$I$102,0)=4),$H87+0.001,IF(AND($K87=2,RANK($I99,$I$98:$I$102,0)=4),$H87-0.001,IF(AND($K87=3,RANK($I99,$I$98:$I$102,0)=4),$H87+0.001,IF(AND($K87=4,RANK($I99,$I$98:$I$102,0)=4),$H87-0.001,N87)))))</f>
        <v>-0.001</v>
      </c>
      <c r="P87" s="68">
        <f aca="true" t="shared" si="80" ref="P87:P90">IF(O$92=0,O87,IF(AND($K87=1,RANK($I99,$I$98:$I$102,0)=5),$H87+0.001,IF(AND($K87=2,RANK($I99,$I$98:$I$102,0)=5),$H87-0.001,IF(AND($K87=3,RANK($I99,$I$98:$I$102,0)=5),$H87+0.001,IF(AND($K87=4,RANK($I99,$I$98:$I$102,0)=5),$H87-0.001,O87)))))</f>
        <v>-0.001</v>
      </c>
      <c r="R87" s="65"/>
      <c r="S87" s="95">
        <f>ROUND($J$41*AI14/$AI$30,3)</f>
        <v>0.001</v>
      </c>
      <c r="T87" s="63">
        <f>$J$41*AI14/AI30</f>
        <v>0.0007234542844413643</v>
      </c>
      <c r="U87" s="63">
        <f aca="true" t="shared" si="81" ref="U87:U90">IF(S87-T87&gt;=0,1,0)</f>
        <v>1</v>
      </c>
      <c r="V87" s="63">
        <f aca="true" t="shared" si="82" ref="V87:V90">IF(AND(J$41&gt;=0,S$92&gt;=0,S87-T87&lt;0),1,IF(AND(J$41&gt;=0,S$92&lt;0,S87-T87&gt;=0),2,IF(AND(J$41&lt;0,S$92&gt;=0,S87-T87&lt;0),3,IF(AND(J$41&lt;0,S$92&lt;0,S87-T87&gt;=0),4,0))))</f>
        <v>2</v>
      </c>
      <c r="W87" s="67">
        <f>IF($S$92=0,S87,IF(AND($V87=1,RANK($T99,$T$98:$T$102,0)=1),$S87+0.001,IF(AND($V87=2,RANK($T99,$T$98:$T$102,0)=1),$S87-0.001,IF(AND($V87=3,RANK($T99,$T$98:$T$102,0)=1),$S87+0.001,IF(AND($V87=4,RANK($T99,$T$98:$T$102,0)=1),$S87-0.001,S87)))))</f>
        <v>0.001</v>
      </c>
      <c r="X87" s="67">
        <f>IF(W$92=0,W87,IF(AND($V87=1,RANK($T99,$T$98:$T$102,0)=2),$S87+0.001,IF(AND($V87=2,RANK($T99,$T$98:$T$102,0)=2),$S87-0.001,IF(AND($V87=3,RANK($T99,$T$98:$T$102,0)=2),$S87+0.001,IF(AND($V87=4,RANK($T99,$T$98:$T$102,0)=2),$S87-0.001,W87)))))</f>
        <v>0.001</v>
      </c>
      <c r="Y87" s="67">
        <f aca="true" t="shared" si="83" ref="Y87:Y90">IF(X$92=0,X87,IF(AND($V87=1,RANK($T99,$T$98:$T$102,0)=3),$S87+0.001,IF(AND($V87=2,RANK($T99,$T$98:$T$102,0)=3),$S87-0.001,IF(AND($V87=3,RANK($T99,$T$98:$T$102,0)=3),$S87+0.001,IF(AND($V87=4,RANK($T99,$T$98:$T$102,0)=3),$S87-0.001,X87)))))</f>
        <v>0.001</v>
      </c>
      <c r="Z87" s="67">
        <f aca="true" t="shared" si="84" ref="Z87:Z90">IF(Y$92=0,Y87,IF(AND($V87=1,RANK($T99,$T$98:$T$102,0)=4),$S87+0.001,IF(AND($V87=2,RANK($T99,$T$98:$T$102,0)=4),$S87-0.001,IF(AND($V87=3,RANK($T99,$T$98:$T$102,0)=4),$S87+0.001,IF(AND($V87=4,RANK($T99,$T$98:$T$102,0)=4),$S87-0.001,Y87)))))</f>
        <v>0.001</v>
      </c>
      <c r="AA87" s="68">
        <f aca="true" t="shared" si="85" ref="AA87:AA90">IF(Z$92=0,Z87,IF(AND($V87=1,RANK($T99,$T$98:$T$102,0)=5),$S87+0.001,IF(AND($V87=2,RANK($T99,$T$98:$T$102,0)=5),$S87-0.001,IF(AND($V87=3,RANK($T99,$T$98:$T$102,0)=5),$S87+0.001,IF(AND($V87=4,RANK($T99,$T$98:$T$102,0)=5),$S87-0.001,Z87)))))</f>
        <v>0.001</v>
      </c>
    </row>
    <row r="88" spans="7:27" ht="13.5">
      <c r="G88" s="65"/>
      <c r="H88" s="63">
        <f>ROUND($F$41*AI18/$AI$30,3)</f>
        <v>0</v>
      </c>
      <c r="I88" s="63">
        <f>$F$41*AI18/AI30</f>
        <v>-0.00018922949358942626</v>
      </c>
      <c r="J88" s="63">
        <f t="shared" si="76"/>
        <v>1</v>
      </c>
      <c r="K88" s="63">
        <f>IF(AND(F$41&gt;=0,H$92&gt;=0,H88-I88&lt;0),1,IF(AND(F$41&gt;=0,H$92&lt;0,H88-I88&gt;=0),2,IF(AND(F$41&lt;0,H$92&gt;=0,H88-I88&lt;0),3,IF(AND(F$41&lt;0,H$92&lt;0,H88-I88&gt;=0),4,0))))</f>
        <v>4</v>
      </c>
      <c r="L88" s="67">
        <f>IF($H$92=0,H88,IF(AND($K88=1,RANK($I100,$I$98:$I$102,0)=1),$H88+0.001,IF(AND($K88=2,RANK($I100,$I$98:$I$102,0)=1),$H88-0.001,IF(AND($K88=3,RANK($I100,$I$98:$I$102,0)=1),$H88+0.001,IF(AND($K88=4,RANK($I100,$I$98:$I$102,0)=1),$H88-0.001,H88)))))</f>
        <v>0</v>
      </c>
      <c r="M88" s="67">
        <f t="shared" si="77"/>
        <v>0</v>
      </c>
      <c r="N88" s="67">
        <f t="shared" si="78"/>
        <v>0</v>
      </c>
      <c r="O88" s="67">
        <f t="shared" si="79"/>
        <v>0</v>
      </c>
      <c r="P88" s="68">
        <f t="shared" si="80"/>
        <v>0</v>
      </c>
      <c r="R88" s="65"/>
      <c r="S88" s="95">
        <f>ROUND($J$41*AI18/$AI$30,3)</f>
        <v>0.001</v>
      </c>
      <c r="T88" s="63">
        <f>$J$41*AI18/AI30</f>
        <v>0.0005676884807682788</v>
      </c>
      <c r="U88" s="63">
        <f>IF(S88-T88&gt;=0,1,0)</f>
        <v>1</v>
      </c>
      <c r="V88" s="63">
        <f t="shared" si="82"/>
        <v>2</v>
      </c>
      <c r="W88" s="67">
        <f>IF($S$92=0,S88,IF(AND($V88=1,RANK($T100,$T$98:$T$102,0)=1),$S88+0.001,IF(AND($V88=2,RANK($T100,$T$98:$T$102,0)=1),$S88-0.001,IF(AND($V88=3,RANK($T100,$T$98:$T$102,0)=1),$S88+0.001,IF(AND($V88=4,RANK($T100,$T$98:$T$102,0)=1),$S88-0.001,S88)))))</f>
        <v>0.001</v>
      </c>
      <c r="X88" s="67">
        <f>IF(W$92=0,W88,IF(AND($V88=1,RANK($T100,$T$98:$T$102,0)=2),$S88+0.001,IF(AND($V88=2,RANK($T100,$T$98:$T$102,0)=2),$S88-0.001,IF(AND($V88=3,RANK($T100,$T$98:$T$102,0)=2),$S88+0.001,IF(AND($V88=4,RANK($T100,$T$98:$T$102,0)=2),$S88-0.001,W88)))))</f>
        <v>0</v>
      </c>
      <c r="Y88" s="67">
        <f t="shared" si="83"/>
        <v>0</v>
      </c>
      <c r="Z88" s="67">
        <f t="shared" si="84"/>
        <v>0</v>
      </c>
      <c r="AA88" s="68">
        <f t="shared" si="85"/>
        <v>0</v>
      </c>
    </row>
    <row r="89" spans="7:27" ht="13.5">
      <c r="G89" s="65"/>
      <c r="H89" s="63">
        <f>ROUND($F$41*AI22/$AI$30,3)</f>
        <v>0</v>
      </c>
      <c r="I89" s="63">
        <f>$F$41*AI22/AI30</f>
        <v>-0.00020421018761447455</v>
      </c>
      <c r="J89" s="63">
        <f t="shared" si="76"/>
        <v>1</v>
      </c>
      <c r="K89" s="63">
        <f>IF(AND(F$41&gt;=0,H$92&gt;=0,H89-I89&lt;0),1,IF(AND(F$41&gt;=0,H$92&lt;0,H89-I89&gt;=0),2,IF(AND(F$41&lt;0,H$92&gt;=0,H89-I89&lt;0),3,IF(AND(F$41&lt;0,H$92&lt;0,H89-I89&gt;=0),4,0))))</f>
        <v>4</v>
      </c>
      <c r="L89" s="67">
        <f>IF($H$92=0,H89,IF(AND($K89=1,RANK($I101,$I$98:$I$102,0)=1),$H89+0.001,IF(AND($K89=2,RANK($I101,$I$98:$I$102,0)=1),$H89-0.001,IF(AND($K89=3,RANK($I101,$I$98:$I$102,0)=1),$H89+0.001,IF(AND($K89=4,RANK($I101,$I$98:$I$102,0)=1),$H89-0.001,H89)))))</f>
        <v>0</v>
      </c>
      <c r="M89" s="67">
        <f t="shared" si="77"/>
        <v>0</v>
      </c>
      <c r="N89" s="67">
        <f t="shared" si="78"/>
        <v>0</v>
      </c>
      <c r="O89" s="67">
        <f t="shared" si="79"/>
        <v>0</v>
      </c>
      <c r="P89" s="68">
        <f t="shared" si="80"/>
        <v>0</v>
      </c>
      <c r="R89" s="65"/>
      <c r="S89" s="95">
        <f>ROUND($J$41*AI22/$AI$30,3)</f>
        <v>0.001</v>
      </c>
      <c r="T89" s="63">
        <f>$J$41*AI22/AI30</f>
        <v>0.0006126305628434236</v>
      </c>
      <c r="U89" s="63">
        <f t="shared" si="81"/>
        <v>1</v>
      </c>
      <c r="V89" s="63">
        <f t="shared" si="82"/>
        <v>2</v>
      </c>
      <c r="W89" s="67">
        <f>IF($S$92=0,S89,IF(AND($V89=1,RANK($T101,$T$98:$T$102,0)=1),$S89+0.001,IF(AND($V89=2,RANK($T101,$T$98:$T$102,0)=1),$S89-0.001,IF(AND($V89=3,RANK($T101,$T$98:$T$102,0)=1),$S89+0.001,IF(AND($V89=4,RANK($T101,$T$98:$T$102,0)=1),$S89-0.001,S89)))))</f>
        <v>0.001</v>
      </c>
      <c r="X89" s="67">
        <f>IF(W$92=0,W89,IF(AND($V89=1,RANK($T101,$T$98:$T$102,0)=2),$S89+0.001,IF(AND($V89=2,RANK($T101,$T$98:$T$102,0)=2),$S89-0.001,IF(AND($V89=3,RANK($T101,$T$98:$T$102,0)=2),$S89+0.001,IF(AND($V89=4,RANK($T101,$T$98:$T$102,0)=2),$S89-0.001,W89)))))</f>
        <v>0.001</v>
      </c>
      <c r="Y89" s="67">
        <f t="shared" si="83"/>
        <v>0.001</v>
      </c>
      <c r="Z89" s="67">
        <f t="shared" si="84"/>
        <v>0.001</v>
      </c>
      <c r="AA89" s="68">
        <f t="shared" si="85"/>
        <v>0.001</v>
      </c>
    </row>
    <row r="90" spans="7:27" ht="13.5">
      <c r="G90" s="65"/>
      <c r="H90" s="63">
        <f>ROUND($F$41*AI26/$AI$30,3)</f>
        <v>0</v>
      </c>
      <c r="I90" s="63">
        <f>$F$41*AI26/AI30</f>
        <v>-0.00016379758427800605</v>
      </c>
      <c r="J90" s="63">
        <f t="shared" si="76"/>
        <v>1</v>
      </c>
      <c r="K90" s="63">
        <f>IF(AND(F$41&gt;=0,H$92&gt;=0,H90-I90&lt;0),1,IF(AND(F$41&gt;=0,H$92&lt;0,H90-I90&gt;=0),2,IF(AND(F$41&lt;0,H$92&gt;=0,H90-I90&lt;0),3,IF(AND(F$41&lt;0,H$92&lt;0,H90-I90&gt;=0),4,0))))</f>
        <v>4</v>
      </c>
      <c r="L90" s="67">
        <f>IF($H$92=0,H90,IF(AND($K90=1,RANK($I102,$I$98:$I$102,0)=1),$H90+0.001,IF(AND($K90=2,RANK($I102,$I$98:$I$102,0)=1),$H90-0.001,IF(AND($K90=3,RANK($I102,$I$98:$I$102,0)=1),$H90+0.001,IF(AND($K90=4,RANK($I102,$I$98:$I$102,0)=1),$H90-0.001,H90)))))</f>
        <v>0</v>
      </c>
      <c r="M90" s="67">
        <f t="shared" si="77"/>
        <v>0</v>
      </c>
      <c r="N90" s="67">
        <f t="shared" si="78"/>
        <v>0</v>
      </c>
      <c r="O90" s="67">
        <f t="shared" si="79"/>
        <v>0</v>
      </c>
      <c r="P90" s="68">
        <f t="shared" si="80"/>
        <v>0</v>
      </c>
      <c r="R90" s="65"/>
      <c r="S90" s="95">
        <f>ROUND($J$41*AI26/$AI$30,3)</f>
        <v>0</v>
      </c>
      <c r="T90" s="63">
        <f>$J$41*AI26/AI30</f>
        <v>0.0004913927528340181</v>
      </c>
      <c r="U90" s="63">
        <f t="shared" si="81"/>
        <v>0</v>
      </c>
      <c r="V90" s="63">
        <f t="shared" si="82"/>
        <v>0</v>
      </c>
      <c r="W90" s="67">
        <f>IF($S$92=0,S90,IF(AND($V90=1,RANK($T102,$T$98:$T$102,0)=1),$S90+0.001,IF(AND($V90=2,RANK($T102,$T$98:$T$102,0)=1),$S90-0.001,IF(AND($V90=3,RANK($T102,$T$98:$T$102,0)=1),$S90+0.001,IF(AND($V90=4,RANK($T102,$T$98:$T$102,0)=1),$S90-0.001,S90)))))</f>
        <v>0</v>
      </c>
      <c r="X90" s="67">
        <f>IF(W$92=0,W90,IF(AND($V90=1,RANK($T102,$T$98:$T$102,0)=2),$S90+0.001,IF(AND($V90=2,RANK($T102,$T$98:$T$102,0)=2),$S90-0.001,IF(AND($V90=3,RANK($T102,$T$98:$T$102,0)=2),$S90+0.001,IF(AND($V90=4,RANK($T102,$T$98:$T$102,0)=2),$S90-0.001,W90)))))</f>
        <v>0</v>
      </c>
      <c r="Y90" s="67">
        <f t="shared" si="83"/>
        <v>0</v>
      </c>
      <c r="Z90" s="67">
        <f t="shared" si="84"/>
        <v>0</v>
      </c>
      <c r="AA90" s="68">
        <f t="shared" si="85"/>
        <v>0</v>
      </c>
    </row>
    <row r="91" spans="7:27" ht="13.5">
      <c r="G91" s="65"/>
      <c r="H91" s="63">
        <f>ROUND(SUM(H86:H90),3)</f>
        <v>0</v>
      </c>
      <c r="I91" s="63"/>
      <c r="J91" s="63"/>
      <c r="K91" s="63"/>
      <c r="L91" s="67">
        <f>ROUND(SUM(L86:L90),3)</f>
        <v>-0.001</v>
      </c>
      <c r="M91" s="67">
        <f>ROUND(SUM(M86:M90),3)</f>
        <v>-0.001</v>
      </c>
      <c r="N91" s="67">
        <f aca="true" t="shared" si="86" ref="N91:P91">ROUND(SUM(N86:N90),3)</f>
        <v>-0.001</v>
      </c>
      <c r="O91" s="67">
        <f t="shared" si="86"/>
        <v>-0.001</v>
      </c>
      <c r="P91" s="68">
        <f t="shared" si="86"/>
        <v>-0.001</v>
      </c>
      <c r="R91" s="65"/>
      <c r="S91" s="95">
        <f>ROUND(SUM(S86:S90),3)</f>
        <v>0.004</v>
      </c>
      <c r="T91" s="63"/>
      <c r="U91" s="63"/>
      <c r="V91" s="63"/>
      <c r="W91" s="67">
        <f>ROUND(SUM(W86:W90),3)</f>
        <v>0.004</v>
      </c>
      <c r="X91" s="67">
        <f>ROUND(SUM(X86:X90),3)</f>
        <v>0.003</v>
      </c>
      <c r="Y91" s="67">
        <f aca="true" t="shared" si="87" ref="Y91:AA91">ROUND(SUM(Y86:Y90),3)</f>
        <v>0.003</v>
      </c>
      <c r="Z91" s="67">
        <f t="shared" si="87"/>
        <v>0.003</v>
      </c>
      <c r="AA91" s="68">
        <f t="shared" si="87"/>
        <v>0.003</v>
      </c>
    </row>
    <row r="92" spans="7:27" ht="13.5">
      <c r="G92" s="65"/>
      <c r="H92" s="63">
        <f>ROUND(F41-H91,3)</f>
        <v>-0.001</v>
      </c>
      <c r="I92" s="63"/>
      <c r="J92" s="63"/>
      <c r="K92" s="63"/>
      <c r="L92" s="67">
        <f>ROUND($F$41-L91,3)</f>
        <v>0</v>
      </c>
      <c r="M92" s="67">
        <f aca="true" t="shared" si="88" ref="M92:O92">ROUND($F$41-M91,3)</f>
        <v>0</v>
      </c>
      <c r="N92" s="67">
        <f t="shared" si="88"/>
        <v>0</v>
      </c>
      <c r="O92" s="67">
        <f t="shared" si="88"/>
        <v>0</v>
      </c>
      <c r="P92" s="68">
        <f>ROUND($F$41-P91,3)</f>
        <v>0</v>
      </c>
      <c r="R92" s="65"/>
      <c r="S92" s="95">
        <f>ROUND(J41-S91,3)</f>
        <v>-0.001</v>
      </c>
      <c r="T92" s="63"/>
      <c r="U92" s="63"/>
      <c r="V92" s="63"/>
      <c r="W92" s="67">
        <f>ROUND($J$41-W91,3)</f>
        <v>-0.001</v>
      </c>
      <c r="X92" s="67">
        <f>ROUND($J$41-X91,3)</f>
        <v>0</v>
      </c>
      <c r="Y92" s="67">
        <f aca="true" t="shared" si="89" ref="Y92:AA92">ROUND($J$41-Y91,3)</f>
        <v>0</v>
      </c>
      <c r="Z92" s="67">
        <f t="shared" si="89"/>
        <v>0</v>
      </c>
      <c r="AA92" s="68">
        <f t="shared" si="89"/>
        <v>0</v>
      </c>
    </row>
    <row r="93" spans="7:27" ht="13.5">
      <c r="G93" s="65"/>
      <c r="H93" s="63"/>
      <c r="I93" s="63"/>
      <c r="J93" s="63"/>
      <c r="K93" s="63"/>
      <c r="L93" s="63"/>
      <c r="M93" s="63"/>
      <c r="N93" s="63"/>
      <c r="O93" s="63"/>
      <c r="P93" s="66"/>
      <c r="R93" s="65"/>
      <c r="S93" s="63"/>
      <c r="T93" s="63"/>
      <c r="U93" s="63"/>
      <c r="V93" s="63"/>
      <c r="W93" s="63"/>
      <c r="X93" s="63"/>
      <c r="Y93" s="63"/>
      <c r="Z93" s="63"/>
      <c r="AA93" s="66"/>
    </row>
    <row r="94" spans="7:27" ht="13.5">
      <c r="G94" s="65"/>
      <c r="H94" s="63"/>
      <c r="I94" s="63"/>
      <c r="J94" s="63"/>
      <c r="K94" s="63"/>
      <c r="L94" s="63"/>
      <c r="M94" s="63"/>
      <c r="N94" s="63"/>
      <c r="O94" s="63"/>
      <c r="P94" s="66"/>
      <c r="R94" s="65"/>
      <c r="S94" s="63"/>
      <c r="T94" s="63"/>
      <c r="U94" s="63"/>
      <c r="V94" s="63"/>
      <c r="W94" s="63"/>
      <c r="X94" s="63"/>
      <c r="Y94" s="63"/>
      <c r="Z94" s="63"/>
      <c r="AA94" s="66"/>
    </row>
    <row r="95" spans="7:27" ht="13.5">
      <c r="G95" s="65"/>
      <c r="H95" s="63"/>
      <c r="I95" s="63"/>
      <c r="J95" s="63"/>
      <c r="K95" s="63"/>
      <c r="L95" s="63"/>
      <c r="M95" s="63"/>
      <c r="N95" s="63"/>
      <c r="O95" s="63"/>
      <c r="P95" s="66"/>
      <c r="R95" s="65"/>
      <c r="S95" s="63"/>
      <c r="T95" s="63"/>
      <c r="U95" s="63"/>
      <c r="V95" s="63"/>
      <c r="W95" s="63"/>
      <c r="X95" s="63"/>
      <c r="Y95" s="63"/>
      <c r="Z95" s="63"/>
      <c r="AA95" s="66"/>
    </row>
    <row r="96" spans="7:27" ht="13.5">
      <c r="G96" s="65"/>
      <c r="H96" s="63"/>
      <c r="I96" s="63"/>
      <c r="J96" s="63"/>
      <c r="K96" s="63"/>
      <c r="L96" s="63"/>
      <c r="M96" s="63"/>
      <c r="N96" s="63"/>
      <c r="O96" s="63"/>
      <c r="P96" s="66"/>
      <c r="R96" s="65"/>
      <c r="S96" s="63"/>
      <c r="T96" s="63"/>
      <c r="U96" s="63"/>
      <c r="V96" s="63"/>
      <c r="W96" s="63"/>
      <c r="X96" s="63"/>
      <c r="Y96" s="63"/>
      <c r="Z96" s="63"/>
      <c r="AA96" s="66"/>
    </row>
    <row r="97" spans="7:27" ht="13.5">
      <c r="G97" s="65"/>
      <c r="H97" s="63"/>
      <c r="I97" s="63" t="s">
        <v>106</v>
      </c>
      <c r="J97" s="63"/>
      <c r="K97" s="63"/>
      <c r="L97" s="63"/>
      <c r="M97" s="63"/>
      <c r="N97" s="63"/>
      <c r="O97" s="63"/>
      <c r="P97" s="66"/>
      <c r="R97" s="65"/>
      <c r="S97" s="102"/>
      <c r="T97" s="63" t="s">
        <v>106</v>
      </c>
      <c r="U97" s="63"/>
      <c r="V97" s="63"/>
      <c r="W97" s="63"/>
      <c r="X97" s="63"/>
      <c r="Y97" s="63"/>
      <c r="Z97" s="63"/>
      <c r="AA97" s="66"/>
    </row>
    <row r="98" spans="7:27" ht="13.5">
      <c r="G98" s="65"/>
      <c r="H98" s="63"/>
      <c r="I98" s="63">
        <f>ABS(H86-I86)</f>
        <v>0.00020161130637097173</v>
      </c>
      <c r="J98" s="63"/>
      <c r="K98" s="63"/>
      <c r="L98" s="63"/>
      <c r="M98" s="63"/>
      <c r="N98" s="63"/>
      <c r="O98" s="63"/>
      <c r="P98" s="66"/>
      <c r="R98" s="65"/>
      <c r="S98" s="63"/>
      <c r="T98" s="63">
        <f>ABS(S86-T86)</f>
        <v>0.00039516608088708486</v>
      </c>
      <c r="U98" s="63"/>
      <c r="V98" s="63"/>
      <c r="W98" s="63"/>
      <c r="X98" s="63"/>
      <c r="Y98" s="63"/>
      <c r="Z98" s="63"/>
      <c r="AA98" s="66"/>
    </row>
    <row r="99" spans="7:27" ht="13.5">
      <c r="G99" s="65"/>
      <c r="H99" s="63"/>
      <c r="I99" s="63">
        <f aca="true" t="shared" si="90" ref="I99:I102">ABS(H87-I87)</f>
        <v>0.00024115142814712143</v>
      </c>
      <c r="J99" s="63"/>
      <c r="K99" s="63"/>
      <c r="L99" s="63"/>
      <c r="M99" s="63"/>
      <c r="N99" s="63"/>
      <c r="O99" s="63"/>
      <c r="P99" s="66"/>
      <c r="R99" s="65"/>
      <c r="S99" s="63"/>
      <c r="T99" s="63">
        <f>ABS(S87-T87)</f>
        <v>0.0002765457155586357</v>
      </c>
      <c r="U99" s="63"/>
      <c r="V99" s="63"/>
      <c r="W99" s="63"/>
      <c r="X99" s="63"/>
      <c r="Y99" s="63"/>
      <c r="Z99" s="63"/>
      <c r="AA99" s="66"/>
    </row>
    <row r="100" spans="7:27" ht="13.5">
      <c r="G100" s="65"/>
      <c r="H100" s="63"/>
      <c r="I100" s="63">
        <f t="shared" si="90"/>
        <v>0.00018922949358942626</v>
      </c>
      <c r="J100" s="63"/>
      <c r="K100" s="63"/>
      <c r="L100" s="63"/>
      <c r="M100" s="63"/>
      <c r="N100" s="63"/>
      <c r="O100" s="63"/>
      <c r="P100" s="66"/>
      <c r="R100" s="65"/>
      <c r="S100" s="63"/>
      <c r="T100" s="63">
        <f>ABS(S88-T88)</f>
        <v>0.0004323115192317212</v>
      </c>
      <c r="U100" s="63"/>
      <c r="V100" s="63"/>
      <c r="W100" s="63"/>
      <c r="X100" s="63"/>
      <c r="Y100" s="63"/>
      <c r="Z100" s="63"/>
      <c r="AA100" s="66"/>
    </row>
    <row r="101" spans="7:27" ht="13.5">
      <c r="G101" s="65"/>
      <c r="H101" s="63"/>
      <c r="I101" s="63">
        <f t="shared" si="90"/>
        <v>0.00020421018761447455</v>
      </c>
      <c r="J101" s="63"/>
      <c r="K101" s="63"/>
      <c r="L101" s="63"/>
      <c r="M101" s="63"/>
      <c r="N101" s="63"/>
      <c r="O101" s="63"/>
      <c r="P101" s="66"/>
      <c r="R101" s="65"/>
      <c r="S101" s="63"/>
      <c r="T101" s="63">
        <f>ABS(S89-T89)</f>
        <v>0.0003873694371565764</v>
      </c>
      <c r="U101" s="63"/>
      <c r="V101" s="63"/>
      <c r="W101" s="63"/>
      <c r="X101" s="63"/>
      <c r="Y101" s="63"/>
      <c r="Z101" s="63"/>
      <c r="AA101" s="66"/>
    </row>
    <row r="102" spans="7:27" ht="13.5">
      <c r="G102" s="69"/>
      <c r="H102" s="70"/>
      <c r="I102" s="70">
        <f t="shared" si="90"/>
        <v>0.00016379758427800605</v>
      </c>
      <c r="J102" s="70"/>
      <c r="K102" s="70"/>
      <c r="L102" s="70"/>
      <c r="M102" s="70"/>
      <c r="N102" s="70"/>
      <c r="O102" s="70"/>
      <c r="P102" s="71"/>
      <c r="R102" s="69"/>
      <c r="S102" s="70"/>
      <c r="T102" s="70">
        <f>ABS(S90-T90)</f>
        <v>0.0004913927528340181</v>
      </c>
      <c r="U102" s="70"/>
      <c r="V102" s="70"/>
      <c r="W102" s="70"/>
      <c r="X102" s="70"/>
      <c r="Y102" s="70"/>
      <c r="Z102" s="70"/>
      <c r="AA102" s="71"/>
    </row>
  </sheetData>
  <sheetProtection formatCells="0" formatColumns="0" formatRows="0" insertColumns="0" insertRows="0" insertHyperlinks="0" deleteColumns="0" deleteRows="0" sort="0" autoFilter="0" pivotTables="0"/>
  <mergeCells count="360">
    <mergeCell ref="A1:AP1"/>
    <mergeCell ref="B3:E5"/>
    <mergeCell ref="G3:H3"/>
    <mergeCell ref="I3:P3"/>
    <mergeCell ref="Q3:S3"/>
    <mergeCell ref="U3:W3"/>
    <mergeCell ref="X3:Y3"/>
    <mergeCell ref="AB3:AD3"/>
    <mergeCell ref="AE3:AM3"/>
    <mergeCell ref="AO3:AP3"/>
    <mergeCell ref="AO4:AP5"/>
    <mergeCell ref="B7:C7"/>
    <mergeCell ref="D7:E7"/>
    <mergeCell ref="F7:G7"/>
    <mergeCell ref="H7:J7"/>
    <mergeCell ref="K7:M7"/>
    <mergeCell ref="N7:P7"/>
    <mergeCell ref="Q7:S7"/>
    <mergeCell ref="T7:V7"/>
    <mergeCell ref="W7:Y7"/>
    <mergeCell ref="G4:H5"/>
    <mergeCell ref="I4:P5"/>
    <mergeCell ref="Q4:S5"/>
    <mergeCell ref="T4:Y5"/>
    <mergeCell ref="AB4:AD5"/>
    <mergeCell ref="AE4:AM5"/>
    <mergeCell ref="B10:C13"/>
    <mergeCell ref="D10:E11"/>
    <mergeCell ref="F10:G10"/>
    <mergeCell ref="K10:K11"/>
    <mergeCell ref="L10:L11"/>
    <mergeCell ref="M10:M11"/>
    <mergeCell ref="AB7:AC9"/>
    <mergeCell ref="AD7:AH9"/>
    <mergeCell ref="AI7:AM9"/>
    <mergeCell ref="B8:C9"/>
    <mergeCell ref="D8:E9"/>
    <mergeCell ref="F8:G8"/>
    <mergeCell ref="K8:K9"/>
    <mergeCell ref="L8:L9"/>
    <mergeCell ref="M8:M9"/>
    <mergeCell ref="N8:P9"/>
    <mergeCell ref="O10:O13"/>
    <mergeCell ref="P10:P13"/>
    <mergeCell ref="Q10:S13"/>
    <mergeCell ref="T10:T13"/>
    <mergeCell ref="U10:U13"/>
    <mergeCell ref="Q8:S9"/>
    <mergeCell ref="T8:V9"/>
    <mergeCell ref="W8:Y9"/>
    <mergeCell ref="F9:G9"/>
    <mergeCell ref="B14:C17"/>
    <mergeCell ref="D14:E15"/>
    <mergeCell ref="F14:G14"/>
    <mergeCell ref="K14:K15"/>
    <mergeCell ref="L14:L15"/>
    <mergeCell ref="M14:M15"/>
    <mergeCell ref="AI10:AM13"/>
    <mergeCell ref="F11:G11"/>
    <mergeCell ref="AD11:AH11"/>
    <mergeCell ref="D12:E13"/>
    <mergeCell ref="F12:G12"/>
    <mergeCell ref="K12:K13"/>
    <mergeCell ref="L12:L13"/>
    <mergeCell ref="M12:M13"/>
    <mergeCell ref="AD12:AH12"/>
    <mergeCell ref="F13:G13"/>
    <mergeCell ref="V10:V13"/>
    <mergeCell ref="W10:W13"/>
    <mergeCell ref="X10:X13"/>
    <mergeCell ref="Y10:Y13"/>
    <mergeCell ref="AB10:AC13"/>
    <mergeCell ref="AD10:AH10"/>
    <mergeCell ref="AD13:AH13"/>
    <mergeCell ref="N10:N13"/>
    <mergeCell ref="AI14:AM17"/>
    <mergeCell ref="F15:G15"/>
    <mergeCell ref="AD15:AH15"/>
    <mergeCell ref="D16:E17"/>
    <mergeCell ref="F16:G16"/>
    <mergeCell ref="K16:K17"/>
    <mergeCell ref="L16:L17"/>
    <mergeCell ref="M16:M17"/>
    <mergeCell ref="AD16:AH16"/>
    <mergeCell ref="F17:G17"/>
    <mergeCell ref="V14:V17"/>
    <mergeCell ref="W14:W17"/>
    <mergeCell ref="X14:X17"/>
    <mergeCell ref="Y14:Y17"/>
    <mergeCell ref="AB14:AC17"/>
    <mergeCell ref="AD14:AH14"/>
    <mergeCell ref="AD17:AH17"/>
    <mergeCell ref="N14:N17"/>
    <mergeCell ref="O14:O17"/>
    <mergeCell ref="P14:P17"/>
    <mergeCell ref="Q14:S17"/>
    <mergeCell ref="T14:T17"/>
    <mergeCell ref="U14:U17"/>
    <mergeCell ref="O18:O21"/>
    <mergeCell ref="P18:P21"/>
    <mergeCell ref="Q18:S21"/>
    <mergeCell ref="T18:T21"/>
    <mergeCell ref="U18:U21"/>
    <mergeCell ref="B18:C21"/>
    <mergeCell ref="D18:E19"/>
    <mergeCell ref="F18:G18"/>
    <mergeCell ref="K18:K19"/>
    <mergeCell ref="L18:L19"/>
    <mergeCell ref="M18:M19"/>
    <mergeCell ref="B22:C25"/>
    <mergeCell ref="D22:E23"/>
    <mergeCell ref="F22:G22"/>
    <mergeCell ref="K22:K23"/>
    <mergeCell ref="L22:L23"/>
    <mergeCell ref="M22:M23"/>
    <mergeCell ref="AI18:AM21"/>
    <mergeCell ref="F19:G19"/>
    <mergeCell ref="AD19:AH19"/>
    <mergeCell ref="D20:E21"/>
    <mergeCell ref="F20:G20"/>
    <mergeCell ref="K20:K21"/>
    <mergeCell ref="L20:L21"/>
    <mergeCell ref="M20:M21"/>
    <mergeCell ref="AD20:AH20"/>
    <mergeCell ref="F21:G21"/>
    <mergeCell ref="V18:V21"/>
    <mergeCell ref="W18:W21"/>
    <mergeCell ref="X18:X21"/>
    <mergeCell ref="Y18:Y21"/>
    <mergeCell ref="AB18:AC21"/>
    <mergeCell ref="AD18:AH18"/>
    <mergeCell ref="AD21:AH21"/>
    <mergeCell ref="N18:N21"/>
    <mergeCell ref="AI22:AM25"/>
    <mergeCell ref="F23:G23"/>
    <mergeCell ref="AD23:AH23"/>
    <mergeCell ref="D24:E25"/>
    <mergeCell ref="F24:G24"/>
    <mergeCell ref="K24:K25"/>
    <mergeCell ref="L24:L25"/>
    <mergeCell ref="M24:M25"/>
    <mergeCell ref="AD24:AH24"/>
    <mergeCell ref="F25:G25"/>
    <mergeCell ref="V22:V25"/>
    <mergeCell ref="W22:W25"/>
    <mergeCell ref="X22:X25"/>
    <mergeCell ref="Y22:Y25"/>
    <mergeCell ref="AB22:AC25"/>
    <mergeCell ref="AD22:AH22"/>
    <mergeCell ref="AD25:AH25"/>
    <mergeCell ref="N22:N25"/>
    <mergeCell ref="O22:O25"/>
    <mergeCell ref="P22:P25"/>
    <mergeCell ref="Q22:S25"/>
    <mergeCell ref="T22:T25"/>
    <mergeCell ref="U22:U25"/>
    <mergeCell ref="O26:O29"/>
    <mergeCell ref="P26:P29"/>
    <mergeCell ref="Q26:S29"/>
    <mergeCell ref="T26:T29"/>
    <mergeCell ref="U26:U29"/>
    <mergeCell ref="B26:C29"/>
    <mergeCell ref="D26:E27"/>
    <mergeCell ref="F26:G26"/>
    <mergeCell ref="K26:K27"/>
    <mergeCell ref="L26:L27"/>
    <mergeCell ref="M26:M27"/>
    <mergeCell ref="B30:C31"/>
    <mergeCell ref="D30:E31"/>
    <mergeCell ref="F30:G31"/>
    <mergeCell ref="H30:J31"/>
    <mergeCell ref="K30:M31"/>
    <mergeCell ref="N30:N31"/>
    <mergeCell ref="AI26:AM29"/>
    <mergeCell ref="F27:G27"/>
    <mergeCell ref="AD27:AH27"/>
    <mergeCell ref="D28:E29"/>
    <mergeCell ref="F28:G28"/>
    <mergeCell ref="K28:K29"/>
    <mergeCell ref="L28:L29"/>
    <mergeCell ref="M28:M29"/>
    <mergeCell ref="AD28:AH28"/>
    <mergeCell ref="F29:G29"/>
    <mergeCell ref="V26:V29"/>
    <mergeCell ref="W26:W29"/>
    <mergeCell ref="X26:X29"/>
    <mergeCell ref="Y26:Y29"/>
    <mergeCell ref="AB26:AC29"/>
    <mergeCell ref="AD26:AH26"/>
    <mergeCell ref="AD29:AH29"/>
    <mergeCell ref="N26:N29"/>
    <mergeCell ref="AJ34:AO34"/>
    <mergeCell ref="L35:N35"/>
    <mergeCell ref="O35:Q35"/>
    <mergeCell ref="AJ35:AO37"/>
    <mergeCell ref="U36:W36"/>
    <mergeCell ref="Y36:AC36"/>
    <mergeCell ref="AD36:AH36"/>
    <mergeCell ref="W30:Y31"/>
    <mergeCell ref="AB30:AC31"/>
    <mergeCell ref="AD30:AH31"/>
    <mergeCell ref="AI30:AM31"/>
    <mergeCell ref="L34:Q34"/>
    <mergeCell ref="R34:T35"/>
    <mergeCell ref="U34:W35"/>
    <mergeCell ref="O30:O31"/>
    <mergeCell ref="P30:P31"/>
    <mergeCell ref="Q30:S31"/>
    <mergeCell ref="T30:T31"/>
    <mergeCell ref="U30:U31"/>
    <mergeCell ref="V30:V31"/>
    <mergeCell ref="B36:C36"/>
    <mergeCell ref="D36:H36"/>
    <mergeCell ref="I36:K36"/>
    <mergeCell ref="L36:N36"/>
    <mergeCell ref="O36:Q36"/>
    <mergeCell ref="R36:T36"/>
    <mergeCell ref="X34:X35"/>
    <mergeCell ref="Y34:AC35"/>
    <mergeCell ref="AD34:AH35"/>
    <mergeCell ref="B34:C35"/>
    <mergeCell ref="D34:H35"/>
    <mergeCell ref="I34:K35"/>
    <mergeCell ref="U37:W37"/>
    <mergeCell ref="Y37:AC37"/>
    <mergeCell ref="AD37:AH37"/>
    <mergeCell ref="B38:C38"/>
    <mergeCell ref="D38:H38"/>
    <mergeCell ref="I38:K38"/>
    <mergeCell ref="L38:N38"/>
    <mergeCell ref="O38:Q38"/>
    <mergeCell ref="R38:T38"/>
    <mergeCell ref="U38:W38"/>
    <mergeCell ref="B37:C37"/>
    <mergeCell ref="D37:H37"/>
    <mergeCell ref="I37:K37"/>
    <mergeCell ref="L37:N37"/>
    <mergeCell ref="O37:Q37"/>
    <mergeCell ref="R37:T37"/>
    <mergeCell ref="Y38:AC38"/>
    <mergeCell ref="AD38:AH38"/>
    <mergeCell ref="AJ38:AO38"/>
    <mergeCell ref="B39:C39"/>
    <mergeCell ref="D39:H39"/>
    <mergeCell ref="I39:K39"/>
    <mergeCell ref="L39:N39"/>
    <mergeCell ref="O39:Q39"/>
    <mergeCell ref="R39:T39"/>
    <mergeCell ref="U39:W39"/>
    <mergeCell ref="Y39:AC39"/>
    <mergeCell ref="AD39:AH39"/>
    <mergeCell ref="AJ39:AO41"/>
    <mergeCell ref="B40:C40"/>
    <mergeCell ref="D40:H40"/>
    <mergeCell ref="I40:K40"/>
    <mergeCell ref="L40:N40"/>
    <mergeCell ref="O40:Q40"/>
    <mergeCell ref="R40:T40"/>
    <mergeCell ref="U40:W40"/>
    <mergeCell ref="Y40:AC40"/>
    <mergeCell ref="AD40:AH40"/>
    <mergeCell ref="B41:C41"/>
    <mergeCell ref="D41:E41"/>
    <mergeCell ref="F41:H41"/>
    <mergeCell ref="J41:K41"/>
    <mergeCell ref="L41:N41"/>
    <mergeCell ref="O41:Q41"/>
    <mergeCell ref="R41:T41"/>
    <mergeCell ref="U41:W41"/>
    <mergeCell ref="Z46:Z47"/>
    <mergeCell ref="AA46:AA47"/>
    <mergeCell ref="AB46:AB47"/>
    <mergeCell ref="AC46:AC47"/>
    <mergeCell ref="AD46:AD47"/>
    <mergeCell ref="K48:K49"/>
    <mergeCell ref="M48:M51"/>
    <mergeCell ref="N48:N51"/>
    <mergeCell ref="O48:O51"/>
    <mergeCell ref="P48:P51"/>
    <mergeCell ref="K46:K47"/>
    <mergeCell ref="N46:N47"/>
    <mergeCell ref="O46:O47"/>
    <mergeCell ref="P46:P47"/>
    <mergeCell ref="T46:T47"/>
    <mergeCell ref="Y46:Y47"/>
    <mergeCell ref="AA48:AA51"/>
    <mergeCell ref="AB48:AB51"/>
    <mergeCell ref="AC48:AC51"/>
    <mergeCell ref="AD48:AD51"/>
    <mergeCell ref="K50:K51"/>
    <mergeCell ref="K52:K53"/>
    <mergeCell ref="M52:M55"/>
    <mergeCell ref="N52:N55"/>
    <mergeCell ref="O52:O55"/>
    <mergeCell ref="P52:P55"/>
    <mergeCell ref="S48:S51"/>
    <mergeCell ref="T48:T51"/>
    <mergeCell ref="V48:V51"/>
    <mergeCell ref="W48:W51"/>
    <mergeCell ref="X48:X51"/>
    <mergeCell ref="Z48:Z51"/>
    <mergeCell ref="AA52:AA55"/>
    <mergeCell ref="AB52:AB55"/>
    <mergeCell ref="AC52:AC55"/>
    <mergeCell ref="AD52:AD55"/>
    <mergeCell ref="K54:K55"/>
    <mergeCell ref="K56:K57"/>
    <mergeCell ref="M56:M59"/>
    <mergeCell ref="N56:N59"/>
    <mergeCell ref="O56:O59"/>
    <mergeCell ref="P56:P59"/>
    <mergeCell ref="S52:S55"/>
    <mergeCell ref="T52:T55"/>
    <mergeCell ref="V52:V55"/>
    <mergeCell ref="W52:W55"/>
    <mergeCell ref="X52:X55"/>
    <mergeCell ref="Z52:Z55"/>
    <mergeCell ref="AA56:AA59"/>
    <mergeCell ref="AB56:AB59"/>
    <mergeCell ref="AC56:AC59"/>
    <mergeCell ref="AD56:AD59"/>
    <mergeCell ref="K58:K59"/>
    <mergeCell ref="K60:K61"/>
    <mergeCell ref="M60:M63"/>
    <mergeCell ref="N60:N63"/>
    <mergeCell ref="O60:O63"/>
    <mergeCell ref="P60:P63"/>
    <mergeCell ref="S56:S59"/>
    <mergeCell ref="T56:T59"/>
    <mergeCell ref="V56:V59"/>
    <mergeCell ref="W56:W59"/>
    <mergeCell ref="X56:X59"/>
    <mergeCell ref="Z56:Z59"/>
    <mergeCell ref="AA60:AA63"/>
    <mergeCell ref="AB60:AB63"/>
    <mergeCell ref="AC60:AC63"/>
    <mergeCell ref="AD60:AD63"/>
    <mergeCell ref="K62:K63"/>
    <mergeCell ref="K64:K65"/>
    <mergeCell ref="M64:M67"/>
    <mergeCell ref="N64:N67"/>
    <mergeCell ref="O64:O67"/>
    <mergeCell ref="P64:P67"/>
    <mergeCell ref="S60:S63"/>
    <mergeCell ref="T60:T63"/>
    <mergeCell ref="V60:V63"/>
    <mergeCell ref="W60:W63"/>
    <mergeCell ref="X60:X63"/>
    <mergeCell ref="Z60:Z63"/>
    <mergeCell ref="AA64:AA67"/>
    <mergeCell ref="AB64:AB67"/>
    <mergeCell ref="AC64:AC67"/>
    <mergeCell ref="AD64:AD67"/>
    <mergeCell ref="K66:K67"/>
    <mergeCell ref="S64:S67"/>
    <mergeCell ref="T64:T67"/>
    <mergeCell ref="V64:V67"/>
    <mergeCell ref="W64:W67"/>
    <mergeCell ref="X64:X67"/>
    <mergeCell ref="Z64:Z6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8" scale="6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D3BE5AF0A8E64DADC46B6B30CF47EC" ma:contentTypeVersion="13" ma:contentTypeDescription="新しいドキュメントを作成します。" ma:contentTypeScope="" ma:versionID="2a5f342e3fbe3dc4e9ceb4a30a96cc62">
  <xsd:schema xmlns:xsd="http://www.w3.org/2001/XMLSchema" xmlns:xs="http://www.w3.org/2001/XMLSchema" xmlns:p="http://schemas.microsoft.com/office/2006/metadata/properties" xmlns:ns3="706a2f50-2b11-4ce6-9b67-df5d57dd6a37" xmlns:ns4="eae32249-6014-4803-bd6e-b9449c8cd0fc" targetNamespace="http://schemas.microsoft.com/office/2006/metadata/properties" ma:root="true" ma:fieldsID="69ef5f9f00b3c3bdee3d390488c9d56f" ns3:_="" ns4:_="">
    <xsd:import namespace="706a2f50-2b11-4ce6-9b67-df5d57dd6a37"/>
    <xsd:import namespace="eae32249-6014-4803-bd6e-b9449c8cd0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a2f50-2b11-4ce6-9b67-df5d57dd6a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32249-6014-4803-bd6e-b9449c8cd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5A501-63A6-47E8-BDAA-26CB052FC60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06a2f50-2b11-4ce6-9b67-df5d57dd6a37"/>
    <ds:schemaRef ds:uri="eae32249-6014-4803-bd6e-b9449c8cd0f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913857-59BA-4D7D-AD0A-D48DBF737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921C49-F7E8-4C6A-B422-8A12878F8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a2f50-2b11-4ce6-9b67-df5d57dd6a37"/>
    <ds:schemaRef ds:uri="eae32249-6014-4803-bd6e-b9449c8cd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検討委員会</dc:creator>
  <cp:keywords/>
  <dc:description/>
  <cp:lastModifiedBy>東京都</cp:lastModifiedBy>
  <cp:lastPrinted>2021-07-03T02:53:41Z</cp:lastPrinted>
  <dcterms:created xsi:type="dcterms:W3CDTF">2007-05-14T04:13:25Z</dcterms:created>
  <dcterms:modified xsi:type="dcterms:W3CDTF">2021-08-01T23:06:17Z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0x010100FAD3BE5AF0A8E64DADC46B6B30CF47EC</vt:lpwstr>
  </property>
</Properties>
</file>